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9\prace\PROJEKTY\2024 Bohuslavice DPS\změna\"/>
    </mc:Choice>
  </mc:AlternateContent>
  <xr:revisionPtr revIDLastSave="0" documentId="13_ncr:1_{ABCC076E-81D0-4661-903A-4D287A351B56}" xr6:coauthVersionLast="47" xr6:coauthVersionMax="47" xr10:uidLastSave="{00000000-0000-0000-0000-000000000000}"/>
  <bookViews>
    <workbookView xWindow="1950" yWindow="600" windowWidth="23325" windowHeight="17400" activeTab="2" xr2:uid="{00000000-000D-0000-FFFF-FFFF00000000}"/>
  </bookViews>
  <sheets>
    <sheet name="KRYCÍ LIST" sheetId="14" r:id="rId1"/>
    <sheet name="REKAPITULACE" sheetId="13" r:id="rId2"/>
    <sheet name="SOUPIS PRACÍ" sheetId="1" r:id="rId3"/>
  </sheets>
  <definedNames>
    <definedName name="_xlnm._FilterDatabase" localSheetId="2" hidden="1">'SOUPIS PRACÍ'!$A$10:$AQ$10</definedName>
    <definedName name="_xlnm.Print_Titles" localSheetId="0">'KRYCÍ LIST'!#REF!</definedName>
    <definedName name="_xlnm.Print_Titles" localSheetId="1">REKAPITULACE!#REF!</definedName>
    <definedName name="_xlnm.Print_Titles" localSheetId="2">'SOUPIS PRACÍ'!$10:$10</definedName>
    <definedName name="_xlnm.Print_Area" localSheetId="0">'KRYCÍ LIST'!$B$8:$J$32</definedName>
    <definedName name="_xlnm.Print_Area" localSheetId="1">REKAPITULACE!$B$2:$L$23</definedName>
    <definedName name="_xlnm.Print_Area" localSheetId="2">'SOUPIS PRACÍ'!$B$8:$J$258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4" l="1"/>
  <c r="F27" i="14"/>
  <c r="F26" i="14"/>
  <c r="H25" i="14"/>
  <c r="F25" i="14"/>
  <c r="G87" i="1"/>
  <c r="G141" i="1"/>
  <c r="G129" i="1"/>
  <c r="G14" i="1"/>
  <c r="G13" i="1"/>
  <c r="G136" i="1"/>
  <c r="G93" i="1"/>
  <c r="G140" i="1"/>
  <c r="G165" i="1"/>
  <c r="G153" i="1"/>
  <c r="G148" i="1"/>
  <c r="G31" i="1"/>
  <c r="G18" i="1"/>
  <c r="G122" i="1"/>
  <c r="G121" i="1"/>
  <c r="G120" i="1"/>
  <c r="G119" i="1"/>
  <c r="G195" i="1"/>
  <c r="G242" i="1"/>
  <c r="G244" i="1"/>
  <c r="G243" i="1"/>
  <c r="G241" i="1"/>
  <c r="G240" i="1"/>
  <c r="G239" i="1"/>
  <c r="G132" i="1"/>
  <c r="G17" i="1"/>
  <c r="G16" i="1"/>
  <c r="R4" i="1" l="1"/>
  <c r="G145" i="1" l="1"/>
  <c r="G135" i="1"/>
  <c r="G137" i="1"/>
  <c r="G30" i="1"/>
  <c r="G33" i="1"/>
  <c r="G32" i="1"/>
  <c r="G124" i="1"/>
  <c r="G123" i="1"/>
  <c r="G147" i="1"/>
  <c r="G96" i="1"/>
  <c r="G63" i="1"/>
  <c r="G62" i="1"/>
  <c r="G95" i="1"/>
  <c r="G116" i="1"/>
  <c r="G113" i="1"/>
  <c r="G97" i="1"/>
  <c r="G146" i="1"/>
  <c r="G23" i="1"/>
  <c r="I26" i="1" l="1"/>
  <c r="H17" i="13" s="1"/>
  <c r="I50" i="1"/>
  <c r="H19" i="13" s="1"/>
  <c r="J19" i="13" s="1"/>
  <c r="I64" i="1"/>
  <c r="G131" i="1"/>
  <c r="G130" i="1"/>
  <c r="J17" i="13" l="1"/>
  <c r="I40" i="1"/>
  <c r="H18" i="13" s="1"/>
  <c r="J18" i="13" s="1"/>
  <c r="G207" i="1"/>
  <c r="V4" i="1" s="1"/>
  <c r="G206" i="1" s="1"/>
  <c r="G247" i="1"/>
  <c r="G235" i="1"/>
  <c r="G200" i="1"/>
  <c r="G179" i="1"/>
  <c r="G134" i="1"/>
  <c r="G128" i="1"/>
  <c r="G68" i="1"/>
  <c r="G67" i="1"/>
  <c r="G66" i="1"/>
  <c r="G72" i="1"/>
  <c r="G71" i="1"/>
  <c r="G94" i="1"/>
  <c r="G91" i="1"/>
  <c r="G90" i="1"/>
  <c r="G92" i="1"/>
  <c r="G83" i="1"/>
  <c r="G82" i="1"/>
  <c r="G81" i="1"/>
  <c r="G76" i="1"/>
  <c r="G75" i="1"/>
  <c r="G74" i="1"/>
  <c r="G80" i="1"/>
  <c r="G79" i="1"/>
  <c r="G78" i="1"/>
  <c r="G77" i="1"/>
  <c r="G73" i="1"/>
  <c r="G70" i="1"/>
  <c r="G69" i="1"/>
  <c r="G246" i="1"/>
  <c r="G197" i="1"/>
  <c r="G196" i="1"/>
  <c r="G126" i="1"/>
  <c r="G88" i="1"/>
  <c r="G86" i="1"/>
  <c r="G85" i="1"/>
  <c r="G84" i="1"/>
  <c r="G139" i="1"/>
  <c r="G138" i="1"/>
  <c r="G125" i="1"/>
  <c r="G89" i="1"/>
  <c r="G198" i="1"/>
  <c r="G199" i="1"/>
  <c r="G190" i="1"/>
  <c r="V2" i="1" s="1"/>
  <c r="G182" i="1" s="1"/>
  <c r="G245" i="1"/>
  <c r="I248" i="1" l="1"/>
  <c r="G203" i="1"/>
  <c r="G202" i="1"/>
  <c r="G201" i="1"/>
  <c r="G205" i="1"/>
  <c r="G204" i="1"/>
  <c r="G185" i="1"/>
  <c r="G188" i="1"/>
  <c r="G186" i="1"/>
  <c r="G189" i="1"/>
  <c r="G184" i="1"/>
  <c r="G183" i="1"/>
  <c r="G187" i="1"/>
  <c r="I193" i="1" l="1"/>
  <c r="I236" i="1"/>
  <c r="I117" i="1"/>
  <c r="G133" i="1"/>
  <c r="G143" i="1"/>
  <c r="G127" i="1"/>
  <c r="G142" i="1"/>
  <c r="G144" i="1"/>
  <c r="I180" i="1" l="1"/>
  <c r="I250" i="1" s="1"/>
  <c r="I253" i="1" l="1"/>
  <c r="H20" i="13"/>
  <c r="J20" i="13" l="1"/>
  <c r="J15" i="13" s="1"/>
  <c r="H15" i="13"/>
  <c r="I255" i="1"/>
  <c r="H21" i="14"/>
  <c r="F24" i="14" l="1"/>
  <c r="H24" i="14" s="1"/>
  <c r="H30" i="14" s="1"/>
</calcChain>
</file>

<file path=xl/sharedStrings.xml><?xml version="1.0" encoding="utf-8"?>
<sst xmlns="http://schemas.openxmlformats.org/spreadsheetml/2006/main" count="1013" uniqueCount="385">
  <si>
    <t>M</t>
  </si>
  <si>
    <t>K</t>
  </si>
  <si>
    <t>m</t>
  </si>
  <si>
    <t>m3</t>
  </si>
  <si>
    <t>l</t>
  </si>
  <si>
    <t>kg</t>
  </si>
  <si>
    <t>t</t>
  </si>
  <si>
    <t>km</t>
  </si>
  <si>
    <t>trvalky hrnkované (90mm)</t>
  </si>
  <si>
    <t>R</t>
  </si>
  <si>
    <t>ks</t>
  </si>
  <si>
    <t>1:5</t>
  </si>
  <si>
    <t>1:2</t>
  </si>
  <si>
    <t>1:1</t>
  </si>
  <si>
    <t>Popruh (0,5bm/strom)</t>
  </si>
  <si>
    <t>Voda pro zálivku rostlin (10l/keř)</t>
  </si>
  <si>
    <t>Hnojení půdy umělým hnojivem k jednotlivým rostlinám v rovině a svahu do 1:5 (1 tableta = 10g, 1 tableta/ rostlina)</t>
  </si>
  <si>
    <t>popinavky ks</t>
  </si>
  <si>
    <t>popinavky, trvalky, travniky</t>
  </si>
  <si>
    <t>Hnojení půdy umělým hnojivem na široko v rovině a svahu do 1:5 (plné hnojivo (0,013kg/m2)</t>
  </si>
  <si>
    <t>trvalky m2</t>
  </si>
  <si>
    <t>trvalky ks</t>
  </si>
  <si>
    <t>1 kontejner * 0,5t</t>
  </si>
  <si>
    <t>Popruh (1,5 bm/strom)</t>
  </si>
  <si>
    <t>keře nad 80</t>
  </si>
  <si>
    <t>stromy jehl</t>
  </si>
  <si>
    <t>keře do 80</t>
  </si>
  <si>
    <t>Odstranění pařezů D do 0,2 m v rovině a svahu 1:5 s odklizením do 20 m a zasypáním jámy</t>
  </si>
  <si>
    <t>Odstranění pařezů D do 0,4 m v rovině a svahu 1:5 s odklizením do 20 m a zasypáním jámy</t>
  </si>
  <si>
    <t>Odstranění pařezů D do 0,5 m v rovině a svahu 1:5 s odklizením do 20 m a zasypáním jámy</t>
  </si>
  <si>
    <t>Odstranění nevhodných dřevin do 100 m2 výšky do 1m s odstraněním pařezů v rovině nebo svahu 1:5</t>
  </si>
  <si>
    <t>Ukotvení kmene dřevin třemi kůly D do 0,1 m délky do 3 m</t>
  </si>
  <si>
    <t>Zhotovení závlahové mísy dřevin D do 1,0 m v rovině nebo na svahu do 1:5</t>
  </si>
  <si>
    <t>Zhotovení závlahové mísy dřevin D do 1,0 m na svahu do 1:2</t>
  </si>
  <si>
    <t>Příplatek k dovozu vody pro zálivku rostlin do 1000 m ZKD 1000 m</t>
  </si>
  <si>
    <t>Řez stromů netrnitých průklestem D koruny do 2 m (pouze listnáče)</t>
  </si>
  <si>
    <t>Hnojení půdy umělým hnojivem k jednotlivým rostlinám ve svahu do 1:2 (2 tablety = 20g / keř)</t>
  </si>
  <si>
    <t>Dovoz vody pro zálivku rostlin za vzdálenost do 1000 m (10l / keř)</t>
  </si>
  <si>
    <t>Zalití rostlin vodou plocha přes 20 m2 (10l / keř)</t>
  </si>
  <si>
    <t>Hloubení jamek bez výměny půdy zeminy tř 1 až 4 objem do 0,01 m3 v rovině a svahu do 1:5</t>
  </si>
  <si>
    <t>Výsadba květin hrnkových D květináče do 120 mm</t>
  </si>
  <si>
    <t>Zalití rostlin vodou plocha přes 20 m2 (1l / rostlina)</t>
  </si>
  <si>
    <t>Dovoz vody pro zálivku rostlin za vzdálenost do 1000 m (1l / roslina)</t>
  </si>
  <si>
    <t>Založení záhonu v rovině a svahu do 1:5 zemina tř 1 a 2</t>
  </si>
  <si>
    <t>Příčky (3ks / strom) (vč. dopravy a manipulace)</t>
  </si>
  <si>
    <t>Voda pro zálivku (50l/strom) (stromy s balem)</t>
  </si>
  <si>
    <t xml:space="preserve">stromy </t>
  </si>
  <si>
    <t>keře</t>
  </si>
  <si>
    <t xml:space="preserve">Herbicid totální systémový neselektivní (5l/ha) </t>
  </si>
  <si>
    <t>Kůl vyvazovací dřevěný impregnovaný D 8cm dl. 2m (1ks / strom) (vč. dopravy a manipulace)</t>
  </si>
  <si>
    <t>Kůra mulčovací (cca 0,15m3/1strom)</t>
  </si>
  <si>
    <t>Osivo směs travní parková (30g/m2)</t>
  </si>
  <si>
    <t>Voda pro chemický postřik (cca200l/ha) (2x)</t>
  </si>
  <si>
    <t>stromy do 12/14</t>
  </si>
  <si>
    <t>stromy 14/16 a víc</t>
  </si>
  <si>
    <t>stromy KTS do 200</t>
  </si>
  <si>
    <t>stromy KTS nad 200</t>
  </si>
  <si>
    <t>Vytýčení výsadeb zapojených nebo v záhonu plochy do 100m2 s rozmístěním rostlin ve sponu</t>
  </si>
  <si>
    <t>Vytýčení výsadeb zapojených nebo v záhonu plochy přes 100m2 s rozmístěním rostlin ve sponu</t>
  </si>
  <si>
    <t>00572410</t>
  </si>
  <si>
    <t>množství</t>
  </si>
  <si>
    <t>j. cena</t>
  </si>
  <si>
    <t>mj</t>
  </si>
  <si>
    <t>popis</t>
  </si>
  <si>
    <t>typ</t>
  </si>
  <si>
    <t>cena (Kč)</t>
  </si>
  <si>
    <t>kód (URS)</t>
  </si>
  <si>
    <t>poznámka</t>
  </si>
  <si>
    <t xml:space="preserve">č.p. </t>
  </si>
  <si>
    <t>Zhotovitel:    Ing. Lubomír Čech, Ing. Zdenka Čechová</t>
  </si>
  <si>
    <t>TRÁVNÍK</t>
  </si>
  <si>
    <t>TRVALKY</t>
  </si>
  <si>
    <t>PNOUCÍ ROSTLINY</t>
  </si>
  <si>
    <t>KEŘE</t>
  </si>
  <si>
    <t>STROMY</t>
  </si>
  <si>
    <t>Kč (bez DPH)</t>
  </si>
  <si>
    <t>celkem</t>
  </si>
  <si>
    <t>stromy listnaté do vel. 14-16, vícekmeny (KTS) do vel. 200 cm</t>
  </si>
  <si>
    <t>jehličnaté stromy, vícekmeny (KTS) nad 200 cm</t>
  </si>
  <si>
    <t>keře vel. 60 - 80 cm</t>
  </si>
  <si>
    <t>keře vel. 40 - 60 cm</t>
  </si>
  <si>
    <t>keře vel. 30 - 40 cm</t>
  </si>
  <si>
    <t>provést 3x</t>
  </si>
  <si>
    <t>0,03 kg/m2</t>
  </si>
  <si>
    <t>provést 2x</t>
  </si>
  <si>
    <t>0,00002 l/m2, provést 2x</t>
  </si>
  <si>
    <t>travnik park</t>
  </si>
  <si>
    <t>Voda pro zálivku rostlin ( 1l/ks)</t>
  </si>
  <si>
    <t>Zalití rostlin vodou plocha přes 20 m2 (1l/ks)</t>
  </si>
  <si>
    <t>0,001m3/ks</t>
  </si>
  <si>
    <t>0,0005 l/m2, provést 2x</t>
  </si>
  <si>
    <t>40g/strom</t>
  </si>
  <si>
    <t>Pomalu rozpustné hnojivo 40g/strom (4 tablety po 10g)</t>
  </si>
  <si>
    <t>0,06kg/strom</t>
  </si>
  <si>
    <t>0,3kg/strom</t>
  </si>
  <si>
    <t>Kůl vyvazovací dřevěný impregnovaný D 8cm dl. 2,5m (3ks / strom)</t>
  </si>
  <si>
    <t>Hnojení půdy umělým hnojivem k jednotlivým rostlinám v rovině a svahu do 1:5 (20g/keř = 2 tablety)</t>
  </si>
  <si>
    <t>Pomalu rozpustné hnojivo 20g/keř (2 tablety po 10g)</t>
  </si>
  <si>
    <t>0,01m3/ks</t>
  </si>
  <si>
    <t>Pomalu rozpustné hnojivo 10g/keř (1 tableta)</t>
  </si>
  <si>
    <t>10g/ks</t>
  </si>
  <si>
    <t>0,001 m3/ks</t>
  </si>
  <si>
    <t>0,001 m3/ks * 25 * 2</t>
  </si>
  <si>
    <t>Voda pro zálivku rostlin  (1l/ks)</t>
  </si>
  <si>
    <t>Dovoz rostlin a manipulace (25% z ceny materiálu)</t>
  </si>
  <si>
    <t>Pomalu rozpustné hnojivo granulové (70g/m2)</t>
  </si>
  <si>
    <t>0,07kg/m2</t>
  </si>
  <si>
    <t>popínavky hrnkované</t>
  </si>
  <si>
    <t>0,001 m3/ks * 2 cesty</t>
  </si>
  <si>
    <t>Součástí položek materiálů jsou i náklady na dopravu a manipulaci (pokud nejsou uvedeny zvlášť)</t>
  </si>
  <si>
    <t>Zásyp jam, šachet rýh nebo kolem objektů sypaninou bez zhutnění</t>
  </si>
  <si>
    <t>Podklad z mechanicky zpevněného kameniva MZK tl 150 mm</t>
  </si>
  <si>
    <t>MZK</t>
  </si>
  <si>
    <t>Posyp krytu kamenivem drceným nebo těženým do 10 kg/m2</t>
  </si>
  <si>
    <t>posyp MZK</t>
  </si>
  <si>
    <t>Úprava pláně v hornině třídy těžitelnosti I skupiny 1 až 3 se zhutněním strojně</t>
  </si>
  <si>
    <t>Odkopávky a prokopávky nezapažené v hornině třídy těžitelnosti I skupiny 3 objem do 500 m3 strojně</t>
  </si>
  <si>
    <t>Rozprostření ornice tl vrstvy do 200 mm pl přes 500 m2 v rovině nebo ve svahu do 1:5 strojně</t>
  </si>
  <si>
    <t>Podklad z kameniva hrubého drceného vel. 32-63 mm plochy přes 100 m2 tl 150 mm</t>
  </si>
  <si>
    <t>Podklad z kameniva hrubého drceného vel. 16-32 mm plochy přes 100 m2 tl 100 mm</t>
  </si>
  <si>
    <t>Podklad z kameniva hrubého drceného vel. 8-16 mm plochy do 100 m2 tl 250 mm</t>
  </si>
  <si>
    <t>3ks/strom</t>
  </si>
  <si>
    <t xml:space="preserve"> 50l/strom</t>
  </si>
  <si>
    <t>1 kontejner * 25km * 2 cesty</t>
  </si>
  <si>
    <t>0,5bm/strom</t>
  </si>
  <si>
    <t>1,5bm/strom</t>
  </si>
  <si>
    <t>Mulčování rostlin kůrou tl. do 0,15 m ve svahu do 1:2</t>
  </si>
  <si>
    <t>Kč (vč. DPH 21%)</t>
  </si>
  <si>
    <t>Základový nátěr pro ochranu kmene (0,06kg/strom)</t>
  </si>
  <si>
    <t>Ochranný nátěr kmene (0,3kg/strom)</t>
  </si>
  <si>
    <t>výraznější terénní úpravy - srovnání teras do rovin a modelace svahů</t>
  </si>
  <si>
    <t>ASANACE DŘEVIN, PŘÍPRAVA ÚZEMÍ</t>
  </si>
  <si>
    <t>Acer campestre 10-12</t>
  </si>
  <si>
    <t>Acer platanoides 12-14</t>
  </si>
  <si>
    <t>Betula pubescens 10-12</t>
  </si>
  <si>
    <t>Carpinus betulus 10-12</t>
  </si>
  <si>
    <t>Juglans regia 12-14</t>
  </si>
  <si>
    <t>Malus ´John Downie´ 10-12</t>
  </si>
  <si>
    <t>Malus ´Rudolph´ 10-12</t>
  </si>
  <si>
    <t>Prunus avium ´Plena´ 12-14</t>
  </si>
  <si>
    <t>Prunus padus 10-12</t>
  </si>
  <si>
    <t>Sorbus aria 12-14</t>
  </si>
  <si>
    <t xml:space="preserve">Sorbus aucuparia ´Edulis´ 10-12 </t>
  </si>
  <si>
    <t>Sorbus intermedia 12-14</t>
  </si>
  <si>
    <t>třešeň 10-12</t>
  </si>
  <si>
    <t>Pinus nigra 175-200</t>
  </si>
  <si>
    <t xml:space="preserve">Deutzia scabra ´Plena´ 60-80 </t>
  </si>
  <si>
    <t>Physocarpus opulifolius 60-80</t>
  </si>
  <si>
    <t>Rosa multiflora 60-80</t>
  </si>
  <si>
    <t>Syringa vulgaris 60-80</t>
  </si>
  <si>
    <t>Ribes alpinum 40-60</t>
  </si>
  <si>
    <t xml:space="preserve">Rosa rugosa 40-60 </t>
  </si>
  <si>
    <t xml:space="preserve">Spiraea douglasii  40-60 </t>
  </si>
  <si>
    <t>Symphoricarpos doorenboosii  ´Mother of Pearl´ 40-60</t>
  </si>
  <si>
    <t>Deutzia gracilis 30-40</t>
  </si>
  <si>
    <t xml:space="preserve">Lonicera nitida ´Maigrun´ 30-40 </t>
  </si>
  <si>
    <t>Philadelphus ´Belle Etoile´ 30-40</t>
  </si>
  <si>
    <t xml:space="preserve">Potentilla ´Abbotswood´ 30-40 </t>
  </si>
  <si>
    <t>Potentilla fruticosa ´Blink´ 30-40</t>
  </si>
  <si>
    <t>Spiraea ´Genpei´ 30-40</t>
  </si>
  <si>
    <t>Spiraea betulifolia 30-40</t>
  </si>
  <si>
    <t xml:space="preserve">Spiraea thunbergii 30-40 </t>
  </si>
  <si>
    <t>Hedera helix 20+</t>
  </si>
  <si>
    <t>Alchemilla mollis</t>
  </si>
  <si>
    <t>Anemone ´September  Charm´</t>
  </si>
  <si>
    <t>Athyrium filix-femina</t>
  </si>
  <si>
    <t>Bergenia ´Abendglocken´</t>
  </si>
  <si>
    <t>Carex morrowii ´Ice Dance´</t>
  </si>
  <si>
    <t>Echinacea ´Primadonna Deep Rose´ (var. ´Fatal Attraction´)</t>
  </si>
  <si>
    <t>Euphorbia polychroma</t>
  </si>
  <si>
    <t>Geranium ´Patricia´ (Brempat)</t>
  </si>
  <si>
    <t>Geranium ´Rozanne´</t>
  </si>
  <si>
    <t>Geranium ´Tiny Monster´</t>
  </si>
  <si>
    <t>Geranium macrorhizum ´Ingwersen Variety´</t>
  </si>
  <si>
    <t>Geranium sylvaticum ´Mayflower´</t>
  </si>
  <si>
    <t>Hosta ´Devon Green´ (středně vzrůstná, zelený list bez kresby)</t>
  </si>
  <si>
    <t>Chrysogonum virginianum</t>
  </si>
  <si>
    <t>Nepeta ´Dropmore´</t>
  </si>
  <si>
    <t>Nepeta ´Six Hills Giant´</t>
  </si>
  <si>
    <t>Potentilla nepalensis ´Miss Wilmot´</t>
  </si>
  <si>
    <t>Rodgersia ´Die Stolze´ (Rodgersia pinnata ´Superba´)</t>
  </si>
  <si>
    <t>Salvia nemorosa ´Caradona´</t>
  </si>
  <si>
    <t>Salvia nemorosa ´Ostfriesland´</t>
  </si>
  <si>
    <t>Salvia sylvestris ´Adrian´</t>
  </si>
  <si>
    <t>Salvia sylvestris ´Mainacht´</t>
  </si>
  <si>
    <t>Sedum ´Brillant´</t>
  </si>
  <si>
    <t>Sedum ´Matrona´</t>
  </si>
  <si>
    <t>Sesleria autumnalis</t>
  </si>
  <si>
    <t>Waldsteinia geoides</t>
  </si>
  <si>
    <t>Prunus laurocerasus ´Otto Luyken´ 30-40</t>
  </si>
  <si>
    <t>Syringa vulgaris ´Mme Lemoine´ KTS 125-150</t>
  </si>
  <si>
    <t>Prunus laurocerasus ´Novita´ 40-60</t>
  </si>
  <si>
    <t>Prunus laurocerasus ´Rotundifolia´ 40-60</t>
  </si>
  <si>
    <t>Amelanchier laevis ´Ballerina´ KTS 150-175</t>
  </si>
  <si>
    <t>SO 03   MOBILIÁŘ, PTAČÍ KOUPADLA</t>
  </si>
  <si>
    <t>SO 04   VEGETAČNÍ PRVKY</t>
  </si>
  <si>
    <t>SO 2   TERÉNNÍ ÚPRAVY</t>
  </si>
  <si>
    <t>Pokosení trávníku parterového pl do 10000 m2 s odvozem do 20 km v rovině a svahu do 1:5</t>
  </si>
  <si>
    <t>plochy zeleně (trávník a trvalky 15cm, keře 30 cm)</t>
  </si>
  <si>
    <t>SO 1   KOMUNIKACE A ZPEVNĚNÉ PLOCHY</t>
  </si>
  <si>
    <t>Vytyčení výsadeb s rozmístěním solitérních rostlin přes 10 do 50 kusů</t>
  </si>
  <si>
    <t>Ukotvení kmene dřevin jedním kůlem D do 0,1 m délky do 2 m (jehličnaté stromy, KTS)</t>
  </si>
  <si>
    <t>jehličnaté stromy, KTS</t>
  </si>
  <si>
    <t>Dovoz vody pro zálivku rostlin za vzdálenost do 1000 m (50l/strom)</t>
  </si>
  <si>
    <t>Zalití rostlin vodou plocha do 20 m2 (50l/strom)</t>
  </si>
  <si>
    <t>0,05m3/strom</t>
  </si>
  <si>
    <t>Hloubení jamek bez výměny půdy zeminy tř 1 až 4 objem do 0,4 m3 v rovině a svahu do 1:5</t>
  </si>
  <si>
    <t>jehličané str.</t>
  </si>
  <si>
    <t>Hnojení půdy umělým hnojivem k jednotlivým rostlinám v rovině a svahu do 1:5 (4 tablety = 40g / strom)</t>
  </si>
  <si>
    <t>Hnojení půdy umělým hnojivem k jednotlivým rostlinám ve svahu do 1:2 (4 tablety = 40g / strom)</t>
  </si>
  <si>
    <t>listnaté stromy alejové</t>
  </si>
  <si>
    <t>1ks/strom</t>
  </si>
  <si>
    <t>všechny stromy</t>
  </si>
  <si>
    <t>stromy listnaté</t>
  </si>
  <si>
    <t>cena dle průzkumu trhu</t>
  </si>
  <si>
    <t>kere m2</t>
  </si>
  <si>
    <t>Hloubení jamek bez výměny půdy zeminy tř 1 až 4 objem do 0,05 m3 ve svahu do 1:2</t>
  </si>
  <si>
    <t>Hloubení jamek bez výměny půdy zeminy tř 1 až 4 objem do 0,05 m3 v rovině a svahu do 1:5</t>
  </si>
  <si>
    <t>keře ve svahu do 1:5</t>
  </si>
  <si>
    <t>keře ve svahu do 1:2</t>
  </si>
  <si>
    <t>Volné kácení stromů s rozřezáním a odvětvením D kmene přes 100 do 200 mm</t>
  </si>
  <si>
    <t>Volné kácení stromů s rozřezáním a odvětvením D kmene přes 200 do 300 mm</t>
  </si>
  <si>
    <t>odstranění keřů</t>
  </si>
  <si>
    <t>3 kontejnery * 25km * 2 cesty</t>
  </si>
  <si>
    <t>3 kontejnery * 2t</t>
  </si>
  <si>
    <t>Poplatek za uložení na recyklační skládce (skládkovné) odpadu z rostlinných pletiv kód odpadu 02 01 03  (z ořezu stromů - 1 kontejner = 0,5t )</t>
  </si>
  <si>
    <t>Poplatek za uložení na recyklační skládce (skládkovné) odpadu z rostlinných pletiv kód odpadu 02 01 03  (z ořezu keřů - 1 kontejner = 0,5t )</t>
  </si>
  <si>
    <t>Poplatek za uložení na recyklační skládce (skládkovné) odpadu z rostlinných pletiv kód odpadu 02 01 03 (pařezy, drobné větve a keře)</t>
  </si>
  <si>
    <t>SO 3   MOBILIÁŘ, PTAČÍ KOUPADLA</t>
  </si>
  <si>
    <t>SO 4   VEGETAČNÍ PRVKY</t>
  </si>
  <si>
    <t>zapravení odumřelé hmoty</t>
  </si>
  <si>
    <t>Obdělání půdy kultivátorováním ve svahu přes 1:5 do 1:2</t>
  </si>
  <si>
    <t>rozdrcení odumřelé hmoty</t>
  </si>
  <si>
    <t>před aplikací herbicidu</t>
  </si>
  <si>
    <t>Poplatek za uložení na recyklační skládce (skládkovné) odpadu z rostlinných pletiv kód odpadu 02 01 03 (pokosená hmota)</t>
  </si>
  <si>
    <t>Plošná úprava terénu přes 500 m2 - výrazné úpravy terénu s přesuny hmot - modelování svahů a vytvoření teras (s průběžným hutněním po 30cm)</t>
  </si>
  <si>
    <t>Plošná úprava terénu přes 500 m2 - méně náročné úpravy terénu s úpravou výšky a sklonu</t>
  </si>
  <si>
    <t>spíše urovnání povrchu - ostatní plochy s mírným spádem (podobným současnému)</t>
  </si>
  <si>
    <t>Použitá cenová soustava : URS 2024</t>
  </si>
  <si>
    <t>MZK (směs šedé barvy)</t>
  </si>
  <si>
    <t>všechny zpevněné plochy (Edef=30 Mpa)</t>
  </si>
  <si>
    <t>štěrkový okap. chodník</t>
  </si>
  <si>
    <t>Osazení skrytého flexibilního zahradního obrubníku plastového jednostranným odkopáním zeminy</t>
  </si>
  <si>
    <t>obruba štěrk. okap. chodníku</t>
  </si>
  <si>
    <t>Flexibilní zahradní obrubník 150x4mm, černý, plast. kotvy</t>
  </si>
  <si>
    <t>Poznámka:  Kmeny a silné větve budou ponechány na místě pro další využití investorem</t>
  </si>
  <si>
    <t>stromy ve svahu do 1:5</t>
  </si>
  <si>
    <t>stromy ve svahu do 1:2</t>
  </si>
  <si>
    <t>4ks/strom</t>
  </si>
  <si>
    <t>listnaté stromy</t>
  </si>
  <si>
    <t>plochy s výsadbou Prunus laurocerasus - výkop do hl. 0,2m (0,2m3/m2)</t>
  </si>
  <si>
    <t>rozprostření rašeliny - plochy s Prunus laurocerasus (0,2m3/m2)</t>
  </si>
  <si>
    <t>0,2m3/m2, cena dle průzkumu trhu</t>
  </si>
  <si>
    <t>1 auto* 25km * 2 cesty</t>
  </si>
  <si>
    <t>25% z ceny materiálu</t>
  </si>
  <si>
    <t>plocha keřů</t>
  </si>
  <si>
    <t>plocha trvalek</t>
  </si>
  <si>
    <t>trvalky</t>
  </si>
  <si>
    <t>Chemické odplevelení před založením kultury postřikem na široko v rovině a svahu do 1:5 ručně</t>
  </si>
  <si>
    <t>Herbicid totální systémový neselektivní (5l/ha)</t>
  </si>
  <si>
    <t>0,0005 l/m2</t>
  </si>
  <si>
    <t>Voda pro chemický postřik (cca200l/ha)</t>
  </si>
  <si>
    <t>0,00002 l/m2</t>
  </si>
  <si>
    <t>plocha trávníku</t>
  </si>
  <si>
    <t>plocha trvalkových záhonů</t>
  </si>
  <si>
    <t>popínavky</t>
  </si>
  <si>
    <t>Chemické odplevelení před založením kultury postřikem na široko ve svahu přes 1:5 do 1:2 ručně</t>
  </si>
  <si>
    <t>0,15m3/strom, cena dle průzkumu trhu</t>
  </si>
  <si>
    <t>staré pařezy na ploše</t>
  </si>
  <si>
    <t>po asanovaných stromech</t>
  </si>
  <si>
    <t>Mechové ptačí koupadlo - mělká nádrž (2 x 1,5m) nepravidelného tvaru, izolace jezírkovou folií, lem z kamenů a mechů po obvodu, štěrkový vsak 0,3 m3 (realizace vč. výkopu a  materiálu)</t>
  </si>
  <si>
    <t>atypický prvek (cena dle průzkumu trhu)</t>
  </si>
  <si>
    <t>Sejmutí ornice plochy přes 500 m2 tl vrstvy do 200 mm strojně (deponie v uzemí, opětovné použití v celém rozsahu)</t>
  </si>
  <si>
    <t>všechny plochy s úpravami terénu (deponie v uzemí, opětovné použití v celém rozsahu)</t>
  </si>
  <si>
    <t>pokosená hmota před aplikací herbicidu, 1 kontejner * 0,5t</t>
  </si>
  <si>
    <t>kamenná dlažba, kamenné schody</t>
  </si>
  <si>
    <t>Dlažba z lomového kamene do malty s vyplněním spár maltou a vyspárováním pl do 20 m2 tl 250 mm - kamenné schody (kámen vhodný pro schodnice - břidlice) (vč. materiálu, dopravy, lože z betonu, vyplnění spár betonem)</t>
  </si>
  <si>
    <t>Dlažba z lomového kamene na sucho s vyplněním spár drnem pl přes 20 m2 tl 200 mm (kámen vhodný pro dlažby - břidlice tl. 8 - 15cm) (vč. materiálu, dopravy, lože ze ŠD 4-8, vyplnění spár substrátem a ŠD 4-8)</t>
  </si>
  <si>
    <t>vč. materiálu (břidlice, štěrk 4-8) a dopravy, lože ze ŠD 4-8, vyplnění spár ŠD 4-8 a substrátem</t>
  </si>
  <si>
    <t>kamenné schody - vč. materiálu (břidlice, beton) a dopravy, lože z betonu, vyplnění spár maltou</t>
  </si>
  <si>
    <t>Philadelphus coronarius  40-60</t>
  </si>
  <si>
    <t>Viburnum lantana 40-60</t>
  </si>
  <si>
    <t>Viburnum opulus 40-60</t>
  </si>
  <si>
    <t>Spiraea x bumalda ´Anthony Waterer 30-40</t>
  </si>
  <si>
    <t>Symphoricarpos chenaultii ´Hancock´ 30-40</t>
  </si>
  <si>
    <t>Kolkwitzia amabilis 40-60</t>
  </si>
  <si>
    <t>Spiraea cinerea 30-40</t>
  </si>
  <si>
    <t>Ligustrum vulgare 40-60</t>
  </si>
  <si>
    <t>Kamenné ptačí koupadlo - kamenná mísa pr. min. 1m (kamenicky opracovaná - mor. droba), štěrková vsakovací rýha 0,3 m3. (realizace vč. materiálu)</t>
  </si>
  <si>
    <t>Kůra mulčovací (vrstva 10cm)</t>
  </si>
  <si>
    <t>0,1m3 / m2, cena dle průzkumu trhu</t>
  </si>
  <si>
    <t>počet keřů * 0,01 * 10km * 2cesty</t>
  </si>
  <si>
    <t>0,05m3 * 10km * 2 cesty</t>
  </si>
  <si>
    <t>0,001 m3/ks, 10km * 2 cesty</t>
  </si>
  <si>
    <t>20g/keř (kromě Prunus laur.)</t>
  </si>
  <si>
    <t>Mulčování rostlin kůrou tl do 0,1 m v rovině a svahu do 1:5</t>
  </si>
  <si>
    <t>Mulčování rostlin kůrou tl do 0,1 m ve svahu přes 1:5 do 1:2</t>
  </si>
  <si>
    <t>Dovoz rostlin + manipulace (25% z ceny materiálu)</t>
  </si>
  <si>
    <t>MZK * 0,25, kam. dlažba *0,3, schody * 0,3,  štěrk * 0,25</t>
  </si>
  <si>
    <t>Zřízení ochranného nátěru kmene stromu do výšky 1 m obvodu do 180 mm</t>
  </si>
  <si>
    <t>Přesun hmot, manipulace a doprava (pokud není započtena v položkách)</t>
  </si>
  <si>
    <t>pokud není započtena v položkách</t>
  </si>
  <si>
    <t>atypický prvek - realizace vč. materiálu (cena dle průzkumu trhu)</t>
  </si>
  <si>
    <t>atypický prvek - realizace vč. výkopu a  materiálu (cena dle průzkumu trhu)</t>
  </si>
  <si>
    <t>větší stromy</t>
  </si>
  <si>
    <t>malé stromy</t>
  </si>
  <si>
    <t>Montáž odpadkového koše do betonové patky</t>
  </si>
  <si>
    <t xml:space="preserve">1m2/strom (vč. dovozu) </t>
  </si>
  <si>
    <t xml:space="preserve">1m2/strom (vč. dovozu)  </t>
  </si>
  <si>
    <t xml:space="preserve">keře ve svahu do 1:5 (vč. dovozu) </t>
  </si>
  <si>
    <t xml:space="preserve">keře ve svahu do 1:2 (vč. dovozu) </t>
  </si>
  <si>
    <t>Rašelina zahradnická</t>
  </si>
  <si>
    <t>sbr</t>
  </si>
  <si>
    <t>6 aut* 25km * 2 cesty</t>
  </si>
  <si>
    <t>SOUPIS PRACÍ</t>
  </si>
  <si>
    <t>Stavba:</t>
  </si>
  <si>
    <t>Místo:</t>
  </si>
  <si>
    <t>Datum:</t>
  </si>
  <si>
    <t>Zadavatel: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</si>
  <si>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</si>
  <si>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</si>
  <si>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</si>
  <si>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</si>
  <si>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</si>
  <si>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</si>
  <si>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</si>
  <si>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</si>
  <si>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</si>
  <si>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</si>
  <si>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</si>
  <si>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REKAPITULACE OBJEKTŮ STAVBY A SOUPISŮ PRACÍ</t>
  </si>
  <si>
    <t>Kód</t>
  </si>
  <si>
    <t>Objekt, Soupis prací</t>
  </si>
  <si>
    <t>Cena bez DPH [CZK]</t>
  </si>
  <si>
    <t>Cena s DPH [CZK]</t>
  </si>
  <si>
    <t>Náklady stavby celkem</t>
  </si>
  <si>
    <t>Vegetační prvky</t>
  </si>
  <si>
    <t>KRYCÍ LIST SOUPISU</t>
  </si>
  <si>
    <t>Komunikace a zpevněné plochy</t>
  </si>
  <si>
    <t>Terénní úpravy</t>
  </si>
  <si>
    <t>SO 2</t>
  </si>
  <si>
    <t>SO 1</t>
  </si>
  <si>
    <t>SO 3</t>
  </si>
  <si>
    <t>SO 4</t>
  </si>
  <si>
    <t>Mobiliář, ptačí koupadla</t>
  </si>
  <si>
    <t>Zhotovitel:</t>
  </si>
  <si>
    <t>REVITALIZACE VEŘEJNÉHO PROSTRANSTVÍ – ZAHRADY V BOHUSLAVICÍCH (DPS)</t>
  </si>
  <si>
    <t>Římskokatolická farnost Bohuslavice u Konice, Bohuslavice 1, Bohuslavice 79856</t>
  </si>
  <si>
    <t>Bohuslavice</t>
  </si>
  <si>
    <t>v CZK</t>
  </si>
  <si>
    <t>Ing. Lubomír Čech, Ing. Zdenka Čechová</t>
  </si>
  <si>
    <r>
      <t>m</t>
    </r>
    <r>
      <rPr>
        <vertAlign val="superscript"/>
        <sz val="9"/>
        <rFont val="Calibri"/>
        <family val="2"/>
        <charset val="238"/>
      </rPr>
      <t>3</t>
    </r>
  </si>
  <si>
    <r>
      <t>m</t>
    </r>
    <r>
      <rPr>
        <vertAlign val="superscript"/>
        <sz val="9"/>
        <color indexed="8"/>
        <rFont val="Calibri"/>
        <family val="2"/>
        <charset val="238"/>
      </rPr>
      <t>2</t>
    </r>
  </si>
  <si>
    <r>
      <t>m</t>
    </r>
    <r>
      <rPr>
        <vertAlign val="superscript"/>
        <sz val="9"/>
        <color indexed="8"/>
        <rFont val="Segoe UI"/>
        <family val="2"/>
        <charset val="238"/>
      </rPr>
      <t>2</t>
    </r>
  </si>
  <si>
    <r>
      <t>m</t>
    </r>
    <r>
      <rPr>
        <vertAlign val="superscript"/>
        <sz val="9"/>
        <color indexed="8"/>
        <rFont val="Calibri"/>
        <family val="2"/>
        <charset val="238"/>
      </rPr>
      <t>2</t>
    </r>
    <r>
      <rPr>
        <b/>
        <sz val="14"/>
        <color indexed="10"/>
        <rFont val="Arial CE"/>
        <charset val="238"/>
      </rPr>
      <t/>
    </r>
  </si>
  <si>
    <r>
      <t>Chemické odplevelení před založením kultury postřikem na široko v rovině a svahu do 1:5 ručně</t>
    </r>
    <r>
      <rPr>
        <sz val="9"/>
        <color indexed="8"/>
        <rFont val="Calibri"/>
        <family val="2"/>
        <charset val="238"/>
      </rPr>
      <t xml:space="preserve"> (2x)</t>
    </r>
  </si>
  <si>
    <r>
      <t>Obdělání</t>
    </r>
    <r>
      <rPr>
        <sz val="9"/>
        <color indexed="8"/>
        <rFont val="Calibri"/>
        <family val="2"/>
        <charset val="238"/>
      </rPr>
      <t xml:space="preserve"> půdy kultivátorováním v rovině a svahu do 1:5</t>
    </r>
  </si>
  <si>
    <r>
      <t>m</t>
    </r>
    <r>
      <rPr>
        <vertAlign val="superscript"/>
        <sz val="9"/>
        <rFont val="Calibri"/>
        <family val="2"/>
        <charset val="238"/>
      </rPr>
      <t>2</t>
    </r>
    <r>
      <rPr>
        <b/>
        <sz val="14"/>
        <color indexed="10"/>
        <rFont val="Arial CE"/>
        <charset val="238"/>
      </rPr>
      <t/>
    </r>
  </si>
  <si>
    <r>
      <t xml:space="preserve">Odvoz kontejnerů s dřevní hmotou </t>
    </r>
    <r>
      <rPr>
        <sz val="9"/>
        <color theme="1"/>
        <rFont val="Calibri"/>
        <family val="2"/>
        <charset val="238"/>
      </rPr>
      <t>(jedna cesta = 25km)</t>
    </r>
  </si>
  <si>
    <r>
      <t>Hloubení</t>
    </r>
    <r>
      <rPr>
        <sz val="9"/>
        <color theme="1"/>
        <rFont val="Calibri"/>
        <family val="2"/>
        <charset val="238"/>
      </rPr>
      <t xml:space="preserve"> jamek bez výměny půdy zeminy tř 1 až 4 objem do 0,4 m3 ve svahu do 1:2</t>
    </r>
  </si>
  <si>
    <r>
      <t>Hloubení</t>
    </r>
    <r>
      <rPr>
        <sz val="9"/>
        <color indexed="8"/>
        <rFont val="Calibri"/>
        <family val="2"/>
        <charset val="238"/>
      </rPr>
      <t xml:space="preserve"> jamek bez výměny půdy zeminy tř 1 až 4 objem do 1 m3 v rovině a svahu do 1:5 (jehličanté)</t>
    </r>
  </si>
  <si>
    <r>
      <t>Výsadba</t>
    </r>
    <r>
      <rPr>
        <sz val="9"/>
        <color indexed="8"/>
        <rFont val="Calibri"/>
        <family val="2"/>
        <charset val="238"/>
      </rPr>
      <t xml:space="preserve"> dřeviny s balem D do 0,6 m do jamky se zalitím v rovině a svahu do 1:5</t>
    </r>
  </si>
  <si>
    <r>
      <t>Výsadba</t>
    </r>
    <r>
      <rPr>
        <sz val="9"/>
        <color theme="1"/>
        <rFont val="Calibri"/>
        <family val="2"/>
        <charset val="238"/>
      </rPr>
      <t xml:space="preserve"> dřeviny s balem D do 0,6 m do jamky se zalitím ve svahu do 1:2</t>
    </r>
  </si>
  <si>
    <r>
      <t>Mulčování</t>
    </r>
    <r>
      <rPr>
        <sz val="9"/>
        <color theme="1"/>
        <rFont val="Calibri"/>
        <family val="2"/>
        <charset val="238"/>
      </rPr>
      <t xml:space="preserve"> rostlin kůrou tl. do 0,15 m v rovině a svahu do 1:5</t>
    </r>
  </si>
  <si>
    <r>
      <t>m</t>
    </r>
    <r>
      <rPr>
        <vertAlign val="superscript"/>
        <sz val="9"/>
        <color theme="1"/>
        <rFont val="Calibri"/>
        <family val="2"/>
        <charset val="238"/>
      </rPr>
      <t>2</t>
    </r>
    <r>
      <rPr>
        <b/>
        <sz val="14"/>
        <color indexed="10"/>
        <rFont val="Arial CE"/>
        <charset val="238"/>
      </rPr>
      <t/>
    </r>
  </si>
  <si>
    <r>
      <t>m</t>
    </r>
    <r>
      <rPr>
        <vertAlign val="superscript"/>
        <sz val="9"/>
        <color indexed="36"/>
        <rFont val="Calibri"/>
        <family val="2"/>
        <charset val="238"/>
      </rPr>
      <t>3</t>
    </r>
  </si>
  <si>
    <r>
      <t xml:space="preserve">Dovoz mulčovací kůry vč. manipulace </t>
    </r>
    <r>
      <rPr>
        <sz val="9"/>
        <color theme="1"/>
        <rFont val="Calibri"/>
        <family val="2"/>
        <charset val="238"/>
      </rPr>
      <t>(1 auto = 10m3, jedna cesta = 25km)</t>
    </r>
  </si>
  <si>
    <r>
      <t>Odvoz kontejnerů s odpadem z ořezů  stromů po výsadbě na skládku (</t>
    </r>
    <r>
      <rPr>
        <sz val="9"/>
        <color theme="1"/>
        <rFont val="Calibri"/>
        <family val="2"/>
        <charset val="238"/>
      </rPr>
      <t xml:space="preserve"> jedna cesta = 15km)</t>
    </r>
  </si>
  <si>
    <r>
      <t>Založení</t>
    </r>
    <r>
      <rPr>
        <sz val="9"/>
        <color indexed="8"/>
        <rFont val="Calibri"/>
        <family val="2"/>
        <charset val="238"/>
      </rPr>
      <t xml:space="preserve"> záhonu v rovině a svahu do 1:5 zemina tř 1 a 2</t>
    </r>
  </si>
  <si>
    <r>
      <t>Založení</t>
    </r>
    <r>
      <rPr>
        <sz val="9"/>
        <color theme="1"/>
        <rFont val="Calibri"/>
        <family val="2"/>
        <charset val="238"/>
      </rPr>
      <t xml:space="preserve"> záhonu ve svahu do 1:2 zemina tř 1 a 2</t>
    </r>
  </si>
  <si>
    <r>
      <t xml:space="preserve">Dovoz rašeliny vč. manipulace </t>
    </r>
    <r>
      <rPr>
        <sz val="9"/>
        <color theme="1"/>
        <rFont val="Calibri"/>
        <family val="2"/>
        <charset val="238"/>
      </rPr>
      <t>(1 auto = 10m3, jedna cesta = 25km)</t>
    </r>
  </si>
  <si>
    <r>
      <t>Výsadba</t>
    </r>
    <r>
      <rPr>
        <sz val="9"/>
        <color indexed="8"/>
        <rFont val="Calibri"/>
        <family val="2"/>
        <charset val="238"/>
      </rPr>
      <t xml:space="preserve"> dřeviny s balem D do 0,2 m do jamky se zalitím v rovině a svahu do 1:5</t>
    </r>
  </si>
  <si>
    <r>
      <t>Výsadba</t>
    </r>
    <r>
      <rPr>
        <sz val="9"/>
        <color theme="1"/>
        <rFont val="Calibri"/>
        <family val="2"/>
        <charset val="238"/>
      </rPr>
      <t xml:space="preserve"> dřeviny s balem D do 0,2 m do jamky se zalitím ve svahu do 1:2</t>
    </r>
  </si>
  <si>
    <r>
      <t>m</t>
    </r>
    <r>
      <rPr>
        <vertAlign val="superscript"/>
        <sz val="9"/>
        <color indexed="8"/>
        <rFont val="Calibri"/>
        <family val="2"/>
        <charset val="238"/>
      </rPr>
      <t>3</t>
    </r>
  </si>
  <si>
    <r>
      <t xml:space="preserve">Odvoz kontejnerů s odpadem z ořezů  keřů po výsadbě na skládku </t>
    </r>
    <r>
      <rPr>
        <sz val="9"/>
        <color theme="1"/>
        <rFont val="Calibri"/>
        <family val="2"/>
        <charset val="238"/>
      </rPr>
      <t>(jedna cesta = 25km)</t>
    </r>
  </si>
  <si>
    <r>
      <t>Obdělání</t>
    </r>
    <r>
      <rPr>
        <sz val="9"/>
        <color indexed="8"/>
        <rFont val="Calibri"/>
        <family val="2"/>
        <charset val="238"/>
      </rPr>
      <t xml:space="preserve"> půdy kultivátorováním v rovině a svahu do 1:5 (3x)</t>
    </r>
  </si>
  <si>
    <r>
      <t>Obdělání</t>
    </r>
    <r>
      <rPr>
        <sz val="9"/>
        <color indexed="8"/>
        <rFont val="Calibri"/>
        <family val="2"/>
        <charset val="238"/>
      </rPr>
      <t xml:space="preserve"> půdy vláčením v rovině a svahu do 1:5 (2x)</t>
    </r>
  </si>
  <si>
    <r>
      <t>Obdělání</t>
    </r>
    <r>
      <rPr>
        <sz val="9"/>
        <color indexed="8"/>
        <rFont val="Calibri"/>
        <family val="2"/>
        <charset val="238"/>
      </rPr>
      <t xml:space="preserve"> půdy hrabáním v rovině a svahu do 1:5 (2x)</t>
    </r>
  </si>
  <si>
    <r>
      <t>Založení</t>
    </r>
    <r>
      <rPr>
        <sz val="9"/>
        <color indexed="8"/>
        <rFont val="Calibri"/>
        <family val="2"/>
        <charset val="238"/>
      </rPr>
      <t xml:space="preserve"> parkového trávníku výsevem plochy přes 1000 m2 v rovině a ve svahu do 1:5</t>
    </r>
  </si>
  <si>
    <r>
      <t>Obdělání</t>
    </r>
    <r>
      <rPr>
        <sz val="9"/>
        <color indexed="8"/>
        <rFont val="Calibri"/>
        <family val="2"/>
        <charset val="238"/>
      </rPr>
      <t xml:space="preserve"> půdy válením v rovině a svahu do 1:5 (2x)</t>
    </r>
  </si>
  <si>
    <t>ceníková soustava: URS</t>
  </si>
  <si>
    <t>ASANACE DŘEVIN</t>
  </si>
  <si>
    <t>Odpadkový koš v. 1 m se stříškou a vyjímatelnou pozinkovanou nádobou, kovová konstrukce, šedý komaxit, plášť z dřevěných latí (smrkové), bezbarvý impregnač. nátěr (vč. dopravy)</t>
  </si>
  <si>
    <t>Usazení dřevěných lavic</t>
  </si>
  <si>
    <t>Lavice z masivního dřeva d. 150 cm - modřín, z hranolů min. 12 x 16 cm, závitové tyče, matice, podložky z ocel. jeklů, bezbarvý impregnač. nátěr (vč. dopravy)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</si>
</sst>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0;\-#,##0.000"/>
    <numFmt numFmtId="165" formatCode="0.0"/>
    <numFmt numFmtId="166" formatCode="0.0000"/>
    <numFmt numFmtId="167" formatCode="0.000"/>
    <numFmt numFmtId="168" formatCode="#,##0.000"/>
    <numFmt numFmtId="169" formatCode="0.00000"/>
    <numFmt numFmtId="170" formatCode="#,##0.00000"/>
    <numFmt numFmtId="171" formatCode="0.000000"/>
    <numFmt numFmtId="172" formatCode="#,##0.00%"/>
    <numFmt numFmtId="173" formatCode="dd\.mm\.yyyy"/>
  </numFmts>
  <fonts count="42" x14ac:knownFonts="1">
    <font>
      <sz val="8"/>
      <name val="MS Sans Serif"/>
      <charset val="1"/>
    </font>
    <font>
      <b/>
      <sz val="14"/>
      <color indexed="10"/>
      <name val="Arial CE"/>
      <charset val="238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8"/>
      <color theme="10"/>
      <name val="MS Sans Serif"/>
      <charset val="1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sz val="9"/>
      <color indexed="14"/>
      <name val="Calibri"/>
      <family val="2"/>
      <charset val="238"/>
      <scheme val="minor"/>
    </font>
    <font>
      <sz val="9"/>
      <color indexed="4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10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vertAlign val="superscript"/>
      <sz val="9"/>
      <name val="Calibri"/>
      <family val="2"/>
      <charset val="238"/>
    </font>
    <font>
      <vertAlign val="superscript"/>
      <sz val="9"/>
      <color indexed="8"/>
      <name val="Calibri"/>
      <family val="2"/>
      <charset val="238"/>
    </font>
    <font>
      <vertAlign val="superscript"/>
      <sz val="9"/>
      <color indexed="8"/>
      <name val="Segoe UI"/>
      <family val="2"/>
      <charset val="238"/>
    </font>
    <font>
      <sz val="9"/>
      <color rgb="FF7030A0"/>
      <name val="Calibri"/>
      <family val="2"/>
      <charset val="238"/>
      <scheme val="minor"/>
    </font>
    <font>
      <i/>
      <sz val="9"/>
      <color rgb="FF7030A0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color indexed="50"/>
      <name val="Calibri"/>
      <family val="2"/>
      <charset val="238"/>
      <scheme val="minor"/>
    </font>
    <font>
      <i/>
      <sz val="9"/>
      <color indexed="17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9"/>
      <color indexed="1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indexed="12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</font>
    <font>
      <vertAlign val="superscript"/>
      <sz val="9"/>
      <color indexed="36"/>
      <name val="Calibri"/>
      <family val="2"/>
      <charset val="238"/>
    </font>
    <font>
      <b/>
      <u/>
      <sz val="9"/>
      <name val="Calibri"/>
      <family val="2"/>
      <charset val="238"/>
      <scheme val="minor"/>
    </font>
    <font>
      <b/>
      <u/>
      <sz val="9"/>
      <color indexed="1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FF"/>
        <bgColor indexed="64"/>
      </patternFill>
    </fill>
    <fill>
      <patternFill patternType="solid">
        <fgColor rgb="FFCC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hair">
        <color rgb="FF96969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4" fillId="0" borderId="0" applyNumberFormat="0" applyFill="0" applyBorder="0" applyAlignment="0" applyProtection="0">
      <alignment vertical="top" wrapText="1"/>
      <protection locked="0"/>
    </xf>
  </cellStyleXfs>
  <cellXfs count="324">
    <xf numFmtId="0" fontId="0" fillId="0" borderId="0" xfId="0" applyAlignment="1">
      <alignment vertical="top"/>
      <protection locked="0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wrapText="1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2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right"/>
    </xf>
    <xf numFmtId="0" fontId="3" fillId="0" borderId="2" xfId="0" applyFont="1" applyBorder="1" applyAlignment="1" applyProtection="1">
      <alignment horizontal="right"/>
    </xf>
    <xf numFmtId="0" fontId="5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top" wrapText="1"/>
      <protection locked="0"/>
    </xf>
    <xf numFmtId="0" fontId="5" fillId="0" borderId="0" xfId="0" applyFont="1" applyAlignment="1">
      <alignment horizontal="left" wrapText="1"/>
      <protection locked="0"/>
    </xf>
    <xf numFmtId="0" fontId="5" fillId="0" borderId="0" xfId="0" applyFont="1" applyAlignment="1">
      <alignment horizontal="righ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7" fontId="5" fillId="0" borderId="0" xfId="0" applyNumberFormat="1" applyFont="1" applyAlignment="1">
      <alignment horizontal="center" vertical="top"/>
      <protection locked="0"/>
    </xf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73" fontId="5" fillId="0" borderId="0" xfId="0" applyNumberFormat="1" applyFont="1" applyAlignment="1" applyProtection="1">
      <alignment horizontal="left" vertical="center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vertical="center"/>
    </xf>
    <xf numFmtId="0" fontId="5" fillId="0" borderId="14" xfId="0" applyFont="1" applyBorder="1" applyAlignment="1">
      <alignment horizontal="left" vertical="top" wrapText="1"/>
      <protection locked="0"/>
    </xf>
    <xf numFmtId="0" fontId="5" fillId="0" borderId="2" xfId="0" applyFont="1" applyBorder="1" applyAlignment="1">
      <alignment horizontal="left" wrapText="1"/>
      <protection locked="0"/>
    </xf>
    <xf numFmtId="0" fontId="5" fillId="0" borderId="2" xfId="0" applyFont="1" applyBorder="1" applyAlignment="1">
      <alignment horizontal="left" vertical="top"/>
      <protection locked="0"/>
    </xf>
    <xf numFmtId="0" fontId="5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0" fontId="5" fillId="0" borderId="0" xfId="0" applyFont="1" applyAlignment="1">
      <alignment vertical="top"/>
      <protection locked="0"/>
    </xf>
    <xf numFmtId="0" fontId="5" fillId="0" borderId="0" xfId="0" applyFont="1" applyAlignment="1">
      <alignment vertical="top" wrapText="1"/>
      <protection locked="0"/>
    </xf>
    <xf numFmtId="0" fontId="5" fillId="0" borderId="2" xfId="0" applyFont="1" applyBorder="1" applyAlignment="1">
      <alignment vertical="top"/>
      <protection locked="0"/>
    </xf>
    <xf numFmtId="0" fontId="5" fillId="0" borderId="15" xfId="0" applyFont="1" applyBorder="1" applyAlignment="1">
      <alignment vertical="top"/>
      <protection locked="0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>
      <alignment wrapText="1"/>
      <protection locked="0"/>
    </xf>
    <xf numFmtId="0" fontId="6" fillId="0" borderId="0" xfId="0" applyFont="1" applyAlignment="1" applyProtection="1">
      <alignment wrapText="1"/>
    </xf>
    <xf numFmtId="4" fontId="5" fillId="0" borderId="0" xfId="0" applyNumberFormat="1" applyFont="1" applyAlignment="1" applyProtection="1">
      <alignment horizontal="right" vertical="center"/>
    </xf>
    <xf numFmtId="14" fontId="5" fillId="0" borderId="0" xfId="0" applyNumberFormat="1" applyFont="1" applyAlignment="1" applyProtection="1">
      <alignment horizontal="left" vertical="center"/>
    </xf>
    <xf numFmtId="0" fontId="5" fillId="0" borderId="11" xfId="0" applyFont="1" applyBorder="1" applyAlignment="1">
      <alignment vertical="top"/>
      <protection locked="0"/>
    </xf>
    <xf numFmtId="0" fontId="5" fillId="0" borderId="13" xfId="0" applyFont="1" applyBorder="1" applyAlignment="1">
      <alignment horizontal="left" vertical="top"/>
      <protection locked="0"/>
    </xf>
    <xf numFmtId="0" fontId="5" fillId="0" borderId="13" xfId="0" applyFont="1" applyBorder="1" applyAlignment="1">
      <alignment vertical="top"/>
      <protection locked="0"/>
    </xf>
    <xf numFmtId="0" fontId="7" fillId="0" borderId="0" xfId="0" applyFont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7" fillId="0" borderId="13" xfId="0" applyFont="1" applyBorder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4" fontId="5" fillId="0" borderId="0" xfId="1" quotePrefix="1" applyNumberFormat="1" applyFont="1" applyBorder="1" applyAlignment="1" applyProtection="1">
      <alignment vertical="center"/>
    </xf>
    <xf numFmtId="4" fontId="2" fillId="0" borderId="0" xfId="0" applyNumberFormat="1" applyFont="1" applyAlignment="1" applyProtection="1">
      <alignment horizontal="right" vertical="center"/>
    </xf>
    <xf numFmtId="0" fontId="5" fillId="0" borderId="8" xfId="0" applyFont="1" applyBorder="1" applyAlignment="1" applyProtection="1">
      <alignment vertical="center"/>
    </xf>
    <xf numFmtId="4" fontId="5" fillId="0" borderId="0" xfId="0" applyNumberFormat="1" applyFont="1" applyAlignment="1">
      <alignment horizontal="right" vertical="top"/>
      <protection locked="0"/>
    </xf>
    <xf numFmtId="4" fontId="5" fillId="0" borderId="0" xfId="0" applyNumberFormat="1" applyFont="1" applyAlignment="1">
      <alignment horizontal="right" vertical="top" wrapText="1"/>
      <protection locked="0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5" fillId="4" borderId="0" xfId="0" applyFont="1" applyFill="1" applyAlignment="1" applyProtection="1">
      <alignment vertical="center"/>
    </xf>
    <xf numFmtId="0" fontId="5" fillId="4" borderId="0" xfId="0" applyFont="1" applyFill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right" vertical="center"/>
    </xf>
    <xf numFmtId="172" fontId="5" fillId="0" borderId="0" xfId="0" applyNumberFormat="1" applyFont="1" applyAlignment="1" applyProtection="1">
      <alignment horizontal="right" vertical="center"/>
    </xf>
    <xf numFmtId="0" fontId="5" fillId="0" borderId="9" xfId="0" applyFont="1" applyBorder="1" applyAlignment="1" applyProtection="1"/>
    <xf numFmtId="0" fontId="5" fillId="0" borderId="10" xfId="0" applyFont="1" applyBorder="1" applyAlignment="1" applyProtection="1"/>
    <xf numFmtId="0" fontId="5" fillId="0" borderId="12" xfId="0" applyFont="1" applyBorder="1" applyAlignment="1" applyProtection="1"/>
    <xf numFmtId="0" fontId="5" fillId="0" borderId="1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165" fontId="5" fillId="0" borderId="0" xfId="0" applyNumberFormat="1" applyFont="1" applyAlignment="1">
      <alignment vertical="top"/>
      <protection locked="0"/>
    </xf>
    <xf numFmtId="0" fontId="5" fillId="0" borderId="11" xfId="0" applyFont="1" applyBorder="1" applyAlignment="1" applyProtection="1"/>
    <xf numFmtId="0" fontId="5" fillId="0" borderId="13" xfId="0" applyFont="1" applyBorder="1" applyAlignment="1" applyProtection="1"/>
    <xf numFmtId="0" fontId="5" fillId="0" borderId="13" xfId="0" applyFont="1" applyBorder="1" applyAlignment="1" applyProtection="1">
      <alignment vertical="center"/>
    </xf>
    <xf numFmtId="0" fontId="5" fillId="0" borderId="15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7" fillId="0" borderId="0" xfId="0" applyNumberFormat="1" applyFont="1" applyAlignment="1">
      <alignment horizontal="right" vertical="top"/>
      <protection locked="0"/>
    </xf>
    <xf numFmtId="0" fontId="7" fillId="0" borderId="0" xfId="0" applyFont="1" applyAlignment="1" applyProtection="1"/>
    <xf numFmtId="37" fontId="3" fillId="0" borderId="0" xfId="0" applyNumberFormat="1" applyFont="1" applyAlignment="1">
      <alignment horizontal="center" vertical="top" wrapText="1"/>
      <protection locked="0"/>
    </xf>
    <xf numFmtId="0" fontId="3" fillId="0" borderId="0" xfId="0" applyFont="1" applyAlignment="1">
      <alignment horizontal="left" vertical="top" wrapText="1"/>
      <protection locked="0"/>
    </xf>
    <xf numFmtId="0" fontId="9" fillId="0" borderId="0" xfId="0" applyFont="1" applyAlignment="1">
      <alignment horizontal="left" wrapText="1"/>
      <protection locked="0"/>
    </xf>
    <xf numFmtId="0" fontId="3" fillId="0" borderId="0" xfId="0" applyFont="1" applyAlignment="1">
      <alignment horizontal="right" vertical="top" wrapText="1"/>
      <protection locked="0"/>
    </xf>
    <xf numFmtId="1" fontId="3" fillId="0" borderId="0" xfId="0" applyNumberFormat="1" applyFont="1" applyAlignment="1">
      <alignment horizontal="right" vertical="top" wrapText="1"/>
      <protection locked="0"/>
    </xf>
    <xf numFmtId="4" fontId="3" fillId="0" borderId="0" xfId="0" applyNumberFormat="1" applyFont="1" applyAlignment="1">
      <alignment horizontal="right" vertical="top" wrapText="1"/>
      <protection locked="0"/>
    </xf>
    <xf numFmtId="4" fontId="10" fillId="0" borderId="0" xfId="0" applyNumberFormat="1" applyFont="1" applyAlignment="1">
      <alignment horizontal="left" vertical="top" wrapText="1"/>
      <protection locked="0"/>
    </xf>
    <xf numFmtId="4" fontId="11" fillId="0" borderId="0" xfId="0" applyNumberFormat="1" applyFont="1" applyAlignment="1">
      <alignment horizontal="left" vertical="top" wrapText="1"/>
      <protection locked="0"/>
    </xf>
    <xf numFmtId="165" fontId="3" fillId="0" borderId="0" xfId="0" applyNumberFormat="1" applyFont="1">
      <alignment vertical="top" wrapText="1"/>
      <protection locked="0"/>
    </xf>
    <xf numFmtId="0" fontId="3" fillId="3" borderId="1" xfId="0" applyFont="1" applyFill="1" applyBorder="1" applyAlignment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37" fontId="3" fillId="0" borderId="0" xfId="0" applyNumberFormat="1" applyFont="1" applyAlignment="1">
      <alignment horizontal="center" vertical="top"/>
      <protection locked="0"/>
    </xf>
    <xf numFmtId="0" fontId="12" fillId="0" borderId="0" xfId="0" applyFont="1" applyAlignment="1">
      <alignment horizontal="left" wrapText="1"/>
      <protection locked="0"/>
    </xf>
    <xf numFmtId="4" fontId="3" fillId="0" borderId="0" xfId="0" applyNumberFormat="1" applyFont="1" applyAlignment="1">
      <alignment horizontal="right" vertical="top"/>
      <protection locked="0"/>
    </xf>
    <xf numFmtId="4" fontId="11" fillId="0" borderId="0" xfId="0" applyNumberFormat="1" applyFont="1" applyAlignment="1">
      <alignment horizontal="right" vertical="top" wrapText="1"/>
      <protection locked="0"/>
    </xf>
    <xf numFmtId="165" fontId="3" fillId="0" borderId="0" xfId="0" applyNumberFormat="1" applyFont="1" applyAlignment="1">
      <alignment vertical="top"/>
      <protection locked="0"/>
    </xf>
    <xf numFmtId="164" fontId="3" fillId="0" borderId="0" xfId="0" applyNumberFormat="1" applyFont="1" applyAlignment="1">
      <alignment horizontal="right" vertical="top"/>
      <protection locked="0"/>
    </xf>
    <xf numFmtId="0" fontId="3" fillId="5" borderId="1" xfId="0" applyFont="1" applyFill="1" applyBorder="1" applyAlignment="1">
      <alignment horizontal="left" vertical="center"/>
      <protection locked="0"/>
    </xf>
    <xf numFmtId="165" fontId="3" fillId="0" borderId="1" xfId="0" applyNumberFormat="1" applyFont="1" applyBorder="1" applyAlignment="1">
      <alignment horizontal="left" vertical="center"/>
      <protection locked="0"/>
    </xf>
    <xf numFmtId="0" fontId="3" fillId="5" borderId="1" xfId="0" applyFont="1" applyFill="1" applyBorder="1" applyAlignment="1">
      <alignment horizontal="left" vertical="top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top"/>
      <protection locked="0"/>
    </xf>
    <xf numFmtId="0" fontId="11" fillId="0" borderId="0" xfId="0" applyFont="1" applyAlignment="1">
      <alignment horizontal="left" wrapText="1"/>
      <protection locked="0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right"/>
    </xf>
    <xf numFmtId="1" fontId="9" fillId="0" borderId="0" xfId="0" applyNumberFormat="1" applyFont="1" applyAlignment="1" applyProtection="1">
      <alignment horizontal="left"/>
    </xf>
    <xf numFmtId="4" fontId="9" fillId="0" borderId="0" xfId="0" applyNumberFormat="1" applyFont="1" applyAlignment="1" applyProtection="1">
      <alignment horizontal="left"/>
    </xf>
    <xf numFmtId="4" fontId="15" fillId="0" borderId="0" xfId="0" applyNumberFormat="1" applyFont="1" applyAlignment="1" applyProtection="1">
      <alignment horizontal="left" wrapText="1"/>
    </xf>
    <xf numFmtId="165" fontId="3" fillId="0" borderId="0" xfId="0" applyNumberFormat="1" applyFont="1" applyAlignment="1" applyProtection="1"/>
    <xf numFmtId="165" fontId="3" fillId="5" borderId="1" xfId="0" applyNumberFormat="1" applyFont="1" applyFill="1" applyBorder="1" applyAlignment="1">
      <alignment horizontal="left" vertical="center"/>
      <protection locked="0"/>
    </xf>
    <xf numFmtId="0" fontId="3" fillId="5" borderId="1" xfId="0" applyFont="1" applyFill="1" applyBorder="1" applyAlignment="1">
      <alignment horizontal="left" vertical="top" wrapText="1"/>
      <protection locked="0"/>
    </xf>
    <xf numFmtId="0" fontId="15" fillId="0" borderId="0" xfId="0" applyFont="1" applyAlignment="1" applyProtection="1">
      <alignment horizontal="center" wrapText="1"/>
    </xf>
    <xf numFmtId="168" fontId="3" fillId="5" borderId="1" xfId="0" applyNumberFormat="1" applyFont="1" applyFill="1" applyBorder="1" applyAlignment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 wrapText="1"/>
    </xf>
    <xf numFmtId="1" fontId="3" fillId="0" borderId="0" xfId="0" applyNumberFormat="1" applyFont="1" applyAlignment="1" applyProtection="1">
      <alignment horizontal="center" vertical="center" wrapText="1"/>
    </xf>
    <xf numFmtId="4" fontId="3" fillId="0" borderId="0" xfId="0" applyNumberFormat="1" applyFont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left"/>
    </xf>
    <xf numFmtId="0" fontId="3" fillId="0" borderId="1" xfId="0" applyFont="1" applyBorder="1" applyAlignment="1">
      <alignment horizontal="left" vertical="top"/>
      <protection locked="0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1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16" fillId="6" borderId="0" xfId="0" applyFont="1" applyFill="1" applyAlignment="1">
      <alignment horizontal="left" vertical="center"/>
      <protection locked="0"/>
    </xf>
    <xf numFmtId="37" fontId="9" fillId="0" borderId="0" xfId="0" applyNumberFormat="1" applyFont="1" applyAlignment="1">
      <alignment horizontal="center"/>
      <protection locked="0"/>
    </xf>
    <xf numFmtId="0" fontId="9" fillId="0" borderId="0" xfId="0" applyFont="1" applyAlignment="1">
      <alignment horizontal="right" wrapText="1"/>
      <protection locked="0"/>
    </xf>
    <xf numFmtId="1" fontId="9" fillId="0" borderId="0" xfId="0" applyNumberFormat="1" applyFont="1" applyAlignment="1">
      <alignment horizontal="right"/>
      <protection locked="0"/>
    </xf>
    <xf numFmtId="4" fontId="9" fillId="0" borderId="0" xfId="0" applyNumberFormat="1" applyFont="1" applyAlignment="1">
      <alignment horizontal="right"/>
      <protection locked="0"/>
    </xf>
    <xf numFmtId="4" fontId="15" fillId="0" borderId="0" xfId="0" applyNumberFormat="1" applyFont="1" applyAlignment="1">
      <alignment horizontal="right" wrapText="1"/>
      <protection locked="0"/>
    </xf>
    <xf numFmtId="165" fontId="9" fillId="0" borderId="0" xfId="0" applyNumberFormat="1" applyFont="1" applyAlignment="1">
      <protection locked="0"/>
    </xf>
    <xf numFmtId="164" fontId="9" fillId="0" borderId="0" xfId="0" applyNumberFormat="1" applyFont="1" applyAlignment="1">
      <alignment horizontal="right"/>
      <protection locked="0"/>
    </xf>
    <xf numFmtId="0" fontId="3" fillId="0" borderId="0" xfId="0" applyFont="1" applyAlignment="1">
      <alignment vertical="center"/>
      <protection locked="0"/>
    </xf>
    <xf numFmtId="37" fontId="3" fillId="0" borderId="3" xfId="0" applyNumberFormat="1" applyFont="1" applyBorder="1" applyAlignment="1">
      <alignment horizontal="center"/>
      <protection locked="0"/>
    </xf>
    <xf numFmtId="0" fontId="3" fillId="0" borderId="3" xfId="0" applyFont="1" applyBorder="1" applyAlignment="1">
      <alignment horizontal="left" wrapText="1"/>
      <protection locked="0"/>
    </xf>
    <xf numFmtId="0" fontId="3" fillId="0" borderId="3" xfId="0" applyFont="1" applyBorder="1" applyAlignment="1">
      <alignment horizontal="right" wrapText="1"/>
      <protection locked="0"/>
    </xf>
    <xf numFmtId="4" fontId="3" fillId="0" borderId="3" xfId="0" applyNumberFormat="1" applyFont="1" applyBorder="1" applyAlignment="1">
      <alignment horizontal="right"/>
      <protection locked="0"/>
    </xf>
    <xf numFmtId="4" fontId="14" fillId="0" borderId="3" xfId="0" applyNumberFormat="1" applyFont="1" applyBorder="1" applyAlignment="1">
      <alignment horizontal="right"/>
      <protection locked="0"/>
    </xf>
    <xf numFmtId="4" fontId="3" fillId="0" borderId="3" xfId="0" applyNumberFormat="1" applyFont="1" applyBorder="1" applyAlignment="1">
      <alignment horizontal="right" wrapText="1"/>
      <protection locked="0"/>
    </xf>
    <xf numFmtId="165" fontId="3" fillId="0" borderId="0" xfId="0" applyNumberFormat="1" applyFont="1" applyAlignment="1">
      <protection locked="0"/>
    </xf>
    <xf numFmtId="164" fontId="3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vertical="top"/>
      <protection locked="0"/>
    </xf>
    <xf numFmtId="165" fontId="3" fillId="0" borderId="0" xfId="0" applyNumberFormat="1" applyFont="1" applyAlignment="1">
      <alignment horizontal="left" vertical="top"/>
      <protection locked="0"/>
    </xf>
    <xf numFmtId="164" fontId="12" fillId="0" borderId="0" xfId="0" applyNumberFormat="1" applyFont="1" applyAlignment="1">
      <alignment horizontal="right"/>
      <protection locked="0"/>
    </xf>
    <xf numFmtId="0" fontId="3" fillId="0" borderId="3" xfId="0" applyFont="1" applyBorder="1" applyAlignment="1">
      <alignment wrapText="1"/>
      <protection locked="0"/>
    </xf>
    <xf numFmtId="4" fontId="3" fillId="0" borderId="3" xfId="0" applyNumberFormat="1" applyFont="1" applyBorder="1" applyAlignment="1">
      <alignment wrapText="1"/>
      <protection locked="0"/>
    </xf>
    <xf numFmtId="4" fontId="14" fillId="0" borderId="3" xfId="0" applyNumberFormat="1" applyFont="1" applyBorder="1" applyAlignment="1">
      <alignment wrapText="1"/>
      <protection locked="0"/>
    </xf>
    <xf numFmtId="165" fontId="3" fillId="0" borderId="0" xfId="0" applyNumberFormat="1" applyFont="1" applyAlignment="1">
      <alignment wrapText="1"/>
      <protection locked="0"/>
    </xf>
    <xf numFmtId="164" fontId="9" fillId="0" borderId="0" xfId="0" applyNumberFormat="1" applyFont="1" applyAlignment="1">
      <alignment wrapText="1"/>
      <protection locked="0"/>
    </xf>
    <xf numFmtId="0" fontId="12" fillId="0" borderId="0" xfId="0" applyFont="1" applyAlignment="1">
      <alignment wrapText="1"/>
      <protection locked="0"/>
    </xf>
    <xf numFmtId="0" fontId="3" fillId="0" borderId="0" xfId="0" applyFont="1" applyAlignment="1">
      <alignment wrapText="1"/>
      <protection locked="0"/>
    </xf>
    <xf numFmtId="164" fontId="12" fillId="0" borderId="0" xfId="0" applyNumberFormat="1" applyFont="1" applyAlignment="1">
      <alignment wrapText="1"/>
      <protection locked="0"/>
    </xf>
    <xf numFmtId="0" fontId="3" fillId="0" borderId="3" xfId="0" applyFont="1" applyBorder="1" applyAlignment="1">
      <alignment horizontal="right"/>
      <protection locked="0"/>
    </xf>
    <xf numFmtId="0" fontId="20" fillId="0" borderId="3" xfId="0" applyFont="1" applyBorder="1" applyAlignment="1" applyProtection="1">
      <alignment horizontal="left" wrapText="1"/>
    </xf>
    <xf numFmtId="0" fontId="21" fillId="0" borderId="3" xfId="0" applyFont="1" applyBorder="1" applyAlignment="1">
      <alignment horizontal="left" wrapText="1"/>
      <protection locked="0"/>
    </xf>
    <xf numFmtId="0" fontId="20" fillId="0" borderId="3" xfId="0" applyFont="1" applyBorder="1" applyAlignment="1">
      <alignment horizontal="right" wrapText="1"/>
      <protection locked="0"/>
    </xf>
    <xf numFmtId="2" fontId="20" fillId="0" borderId="3" xfId="0" applyNumberFormat="1" applyFont="1" applyBorder="1" applyAlignment="1">
      <alignment horizontal="right"/>
      <protection locked="0"/>
    </xf>
    <xf numFmtId="4" fontId="20" fillId="0" borderId="3" xfId="0" applyNumberFormat="1" applyFont="1" applyBorder="1" applyAlignment="1">
      <protection locked="0"/>
    </xf>
    <xf numFmtId="4" fontId="20" fillId="0" borderId="3" xfId="0" applyNumberFormat="1" applyFont="1" applyBorder="1" applyAlignment="1">
      <alignment horizontal="right"/>
      <protection locked="0"/>
    </xf>
    <xf numFmtId="4" fontId="20" fillId="0" borderId="3" xfId="0" applyNumberFormat="1" applyFont="1" applyBorder="1" applyAlignment="1">
      <alignment horizontal="right" wrapText="1"/>
      <protection locked="0"/>
    </xf>
    <xf numFmtId="37" fontId="3" fillId="0" borderId="0" xfId="0" applyNumberFormat="1" applyFont="1" applyAlignment="1">
      <alignment horizontal="center"/>
      <protection locked="0"/>
    </xf>
    <xf numFmtId="0" fontId="3" fillId="0" borderId="0" xfId="0" applyFont="1" applyAlignment="1">
      <alignment horizontal="left" wrapText="1"/>
      <protection locked="0"/>
    </xf>
    <xf numFmtId="0" fontId="3" fillId="0" borderId="0" xfId="0" applyFont="1" applyAlignment="1">
      <alignment horizontal="right" wrapText="1"/>
      <protection locked="0"/>
    </xf>
    <xf numFmtId="165" fontId="3" fillId="0" borderId="0" xfId="0" applyNumberFormat="1" applyFont="1" applyAlignment="1">
      <alignment horizontal="right"/>
      <protection locked="0"/>
    </xf>
    <xf numFmtId="4" fontId="3" fillId="0" borderId="0" xfId="0" applyNumberFormat="1" applyFont="1" applyAlignment="1">
      <alignment horizontal="right"/>
      <protection locked="0"/>
    </xf>
    <xf numFmtId="4" fontId="11" fillId="0" borderId="0" xfId="0" applyNumberFormat="1" applyFont="1" applyAlignment="1">
      <alignment horizontal="right" wrapText="1"/>
      <protection locked="0"/>
    </xf>
    <xf numFmtId="37" fontId="3" fillId="0" borderId="0" xfId="0" applyNumberFormat="1" applyFont="1" applyAlignment="1">
      <alignment horizontal="left" vertical="center" wrapText="1"/>
      <protection locked="0"/>
    </xf>
    <xf numFmtId="0" fontId="3" fillId="0" borderId="0" xfId="0" applyFont="1" applyAlignment="1">
      <alignment horizontal="right" vertical="center" wrapText="1"/>
      <protection locked="0"/>
    </xf>
    <xf numFmtId="4" fontId="20" fillId="0" borderId="0" xfId="0" applyNumberFormat="1" applyFont="1" applyAlignment="1">
      <alignment horizontal="right" vertical="center"/>
      <protection locked="0"/>
    </xf>
    <xf numFmtId="4" fontId="16" fillId="6" borderId="0" xfId="0" applyNumberFormat="1" applyFont="1" applyFill="1" applyAlignment="1">
      <alignment horizontal="right" vertical="center"/>
      <protection locked="0"/>
    </xf>
    <xf numFmtId="4" fontId="20" fillId="0" borderId="0" xfId="0" applyNumberFormat="1" applyFont="1" applyAlignment="1">
      <alignment horizontal="left" vertical="center" wrapText="1"/>
      <protection locked="0"/>
    </xf>
    <xf numFmtId="165" fontId="9" fillId="0" borderId="0" xfId="0" applyNumberFormat="1" applyFont="1" applyAlignment="1">
      <alignment horizontal="right" vertical="center" wrapText="1"/>
      <protection locked="0"/>
    </xf>
    <xf numFmtId="164" fontId="9" fillId="0" borderId="0" xfId="0" applyNumberFormat="1" applyFont="1" applyAlignment="1">
      <alignment horizontal="left" vertical="center" wrapText="1"/>
      <protection locked="0"/>
    </xf>
    <xf numFmtId="164" fontId="3" fillId="0" borderId="0" xfId="0" applyNumberFormat="1" applyFont="1" applyAlignment="1">
      <alignment horizontal="right" vertical="center"/>
      <protection locked="0"/>
    </xf>
    <xf numFmtId="0" fontId="22" fillId="0" borderId="0" xfId="0" applyFont="1" applyAlignment="1">
      <alignment horizontal="left" vertical="center"/>
      <protection locked="0"/>
    </xf>
    <xf numFmtId="4" fontId="23" fillId="0" borderId="0" xfId="0" applyNumberFormat="1" applyFont="1" applyAlignment="1">
      <alignment horizontal="right" wrapText="1"/>
      <protection locked="0"/>
    </xf>
    <xf numFmtId="39" fontId="3" fillId="0" borderId="0" xfId="0" applyNumberFormat="1" applyFont="1" applyAlignment="1">
      <alignment horizontal="right" vertical="center"/>
      <protection locked="0"/>
    </xf>
    <xf numFmtId="165" fontId="3" fillId="0" borderId="3" xfId="0" applyNumberFormat="1" applyFont="1" applyBorder="1" applyAlignment="1">
      <alignment horizontal="right"/>
      <protection locked="0"/>
    </xf>
    <xf numFmtId="0" fontId="3" fillId="0" borderId="3" xfId="0" applyFont="1" applyBorder="1" applyAlignment="1">
      <alignment horizontal="right" vertical="center" wrapText="1"/>
      <protection locked="0"/>
    </xf>
    <xf numFmtId="165" fontId="3" fillId="0" borderId="3" xfId="0" applyNumberFormat="1" applyFont="1" applyBorder="1" applyAlignment="1" applyProtection="1">
      <alignment horizontal="right"/>
    </xf>
    <xf numFmtId="37" fontId="20" fillId="0" borderId="3" xfId="0" applyNumberFormat="1" applyFont="1" applyBorder="1" applyAlignment="1">
      <alignment horizontal="center"/>
      <protection locked="0"/>
    </xf>
    <xf numFmtId="166" fontId="20" fillId="0" borderId="3" xfId="0" applyNumberFormat="1" applyFont="1" applyBorder="1" applyAlignment="1" applyProtection="1">
      <alignment horizontal="right"/>
    </xf>
    <xf numFmtId="165" fontId="21" fillId="0" borderId="0" xfId="0" applyNumberFormat="1" applyFont="1" applyAlignment="1">
      <protection locked="0"/>
    </xf>
    <xf numFmtId="164" fontId="16" fillId="0" borderId="0" xfId="0" applyNumberFormat="1" applyFont="1" applyAlignment="1">
      <alignment horizontal="right"/>
      <protection locked="0"/>
    </xf>
    <xf numFmtId="164" fontId="21" fillId="0" borderId="0" xfId="0" applyNumberFormat="1" applyFont="1" applyAlignment="1">
      <alignment horizontal="right"/>
      <protection locked="0"/>
    </xf>
    <xf numFmtId="0" fontId="20" fillId="0" borderId="0" xfId="0" applyFont="1" applyAlignment="1">
      <alignment horizontal="left" vertical="top"/>
      <protection locked="0"/>
    </xf>
    <xf numFmtId="164" fontId="20" fillId="0" borderId="0" xfId="0" applyNumberFormat="1" applyFont="1" applyAlignment="1">
      <alignment horizontal="right"/>
      <protection locked="0"/>
    </xf>
    <xf numFmtId="0" fontId="20" fillId="0" borderId="3" xfId="0" applyFont="1" applyBorder="1" applyAlignment="1">
      <alignment horizontal="left" wrapText="1"/>
      <protection locked="0"/>
    </xf>
    <xf numFmtId="165" fontId="20" fillId="0" borderId="0" xfId="0" applyNumberFormat="1" applyFont="1" applyAlignment="1">
      <protection locked="0"/>
    </xf>
    <xf numFmtId="165" fontId="20" fillId="0" borderId="0" xfId="0" applyNumberFormat="1" applyFont="1" applyAlignment="1">
      <alignment horizontal="left" vertical="top"/>
      <protection locked="0"/>
    </xf>
    <xf numFmtId="165" fontId="11" fillId="0" borderId="0" xfId="0" applyNumberFormat="1" applyFont="1" applyAlignment="1">
      <protection locked="0"/>
    </xf>
    <xf numFmtId="0" fontId="25" fillId="0" borderId="0" xfId="0" applyFont="1" applyAlignment="1">
      <alignment horizontal="left" vertical="top"/>
      <protection locked="0"/>
    </xf>
    <xf numFmtId="164" fontId="26" fillId="0" borderId="0" xfId="0" applyNumberFormat="1" applyFont="1" applyAlignment="1">
      <alignment horizontal="right"/>
      <protection locked="0"/>
    </xf>
    <xf numFmtId="37" fontId="3" fillId="0" borderId="3" xfId="0" applyNumberFormat="1" applyFont="1" applyBorder="1" applyAlignment="1">
      <alignment horizontal="center" wrapText="1"/>
      <protection locked="0"/>
    </xf>
    <xf numFmtId="4" fontId="14" fillId="0" borderId="3" xfId="0" applyNumberFormat="1" applyFont="1" applyBorder="1" applyAlignment="1">
      <alignment horizontal="right" wrapText="1"/>
      <protection locked="0"/>
    </xf>
    <xf numFmtId="165" fontId="9" fillId="0" borderId="0" xfId="0" applyNumberFormat="1" applyFont="1" applyAlignment="1">
      <alignment wrapText="1"/>
      <protection locked="0"/>
    </xf>
    <xf numFmtId="164" fontId="9" fillId="0" borderId="0" xfId="0" applyNumberFormat="1" applyFont="1" applyAlignment="1">
      <alignment horizontal="right" wrapText="1"/>
      <protection locked="0"/>
    </xf>
    <xf numFmtId="0" fontId="3" fillId="0" borderId="0" xfId="0" applyFont="1" applyAlignment="1">
      <alignment horizontal="left"/>
      <protection locked="0"/>
    </xf>
    <xf numFmtId="0" fontId="3" fillId="0" borderId="0" xfId="0" applyFont="1" applyAlignment="1">
      <protection locked="0"/>
    </xf>
    <xf numFmtId="37" fontId="14" fillId="0" borderId="3" xfId="0" applyNumberFormat="1" applyFont="1" applyBorder="1" applyAlignment="1">
      <alignment horizontal="center"/>
      <protection locked="0"/>
    </xf>
    <xf numFmtId="0" fontId="14" fillId="0" borderId="3" xfId="0" applyFont="1" applyBorder="1" applyAlignment="1">
      <alignment horizontal="left" wrapText="1"/>
      <protection locked="0"/>
    </xf>
    <xf numFmtId="2" fontId="14" fillId="0" borderId="3" xfId="0" applyNumberFormat="1" applyFont="1" applyBorder="1" applyAlignment="1">
      <alignment horizontal="right"/>
      <protection locked="0"/>
    </xf>
    <xf numFmtId="37" fontId="27" fillId="0" borderId="0" xfId="0" applyNumberFormat="1" applyFont="1" applyAlignment="1">
      <alignment horizontal="center"/>
      <protection locked="0"/>
    </xf>
    <xf numFmtId="37" fontId="27" fillId="0" borderId="3" xfId="0" applyNumberFormat="1" applyFont="1" applyBorder="1" applyAlignment="1">
      <alignment horizontal="center"/>
      <protection locked="0"/>
    </xf>
    <xf numFmtId="0" fontId="16" fillId="0" borderId="0" xfId="0" applyFont="1" applyAlignment="1">
      <alignment horizontal="left" vertical="center"/>
      <protection locked="0"/>
    </xf>
    <xf numFmtId="0" fontId="16" fillId="4" borderId="0" xfId="0" applyFont="1" applyFill="1" applyAlignment="1">
      <alignment horizontal="left" vertical="center"/>
      <protection locked="0"/>
    </xf>
    <xf numFmtId="1" fontId="3" fillId="0" borderId="3" xfId="0" applyNumberFormat="1" applyFont="1" applyBorder="1" applyAlignment="1">
      <alignment horizontal="right"/>
      <protection locked="0"/>
    </xf>
    <xf numFmtId="4" fontId="3" fillId="0" borderId="4" xfId="0" applyNumberFormat="1" applyFont="1" applyBorder="1" applyAlignment="1">
      <alignment horizontal="right" wrapText="1"/>
      <protection locked="0"/>
    </xf>
    <xf numFmtId="0" fontId="3" fillId="0" borderId="6" xfId="0" applyFont="1" applyBorder="1" applyAlignment="1">
      <alignment horizontal="left" wrapText="1"/>
      <protection locked="0"/>
    </xf>
    <xf numFmtId="0" fontId="3" fillId="0" borderId="7" xfId="0" applyFont="1" applyBorder="1" applyAlignment="1">
      <alignment horizontal="left" wrapText="1"/>
      <protection locked="0"/>
    </xf>
    <xf numFmtId="0" fontId="3" fillId="0" borderId="5" xfId="0" applyFont="1" applyBorder="1" applyAlignment="1">
      <alignment horizontal="right" wrapText="1"/>
      <protection locked="0"/>
    </xf>
    <xf numFmtId="4" fontId="3" fillId="0" borderId="5" xfId="0" applyNumberFormat="1" applyFont="1" applyBorder="1" applyAlignment="1">
      <alignment horizontal="right"/>
      <protection locked="0"/>
    </xf>
    <xf numFmtId="0" fontId="28" fillId="0" borderId="3" xfId="0" applyFont="1" applyBorder="1" applyAlignment="1">
      <alignment horizontal="left"/>
      <protection locked="0"/>
    </xf>
    <xf numFmtId="0" fontId="29" fillId="0" borderId="3" xfId="0" applyFont="1" applyBorder="1" applyAlignment="1">
      <alignment horizontal="left" wrapText="1"/>
      <protection locked="0"/>
    </xf>
    <xf numFmtId="0" fontId="30" fillId="0" borderId="3" xfId="0" applyFont="1" applyBorder="1" applyAlignment="1">
      <alignment horizontal="right" vertical="center" wrapText="1"/>
      <protection locked="0"/>
    </xf>
    <xf numFmtId="0" fontId="30" fillId="0" borderId="3" xfId="0" applyFont="1" applyBorder="1" applyAlignment="1">
      <alignment horizontal="left" vertical="center" wrapText="1"/>
      <protection locked="0"/>
    </xf>
    <xf numFmtId="0" fontId="31" fillId="0" borderId="3" xfId="0" applyFont="1" applyBorder="1" applyAlignment="1">
      <alignment horizontal="left" vertical="center" wrapText="1"/>
      <protection locked="0"/>
    </xf>
    <xf numFmtId="169" fontId="3" fillId="0" borderId="0" xfId="0" applyNumberFormat="1" applyFont="1" applyAlignment="1">
      <alignment horizontal="left" vertical="top"/>
      <protection locked="0"/>
    </xf>
    <xf numFmtId="4" fontId="16" fillId="4" borderId="0" xfId="0" applyNumberFormat="1" applyFont="1" applyFill="1" applyAlignment="1">
      <alignment horizontal="right" vertical="center"/>
      <protection locked="0"/>
    </xf>
    <xf numFmtId="0" fontId="12" fillId="0" borderId="0" xfId="0" applyFont="1" applyAlignment="1">
      <alignment horizontal="left" vertical="center" wrapText="1"/>
      <protection locked="0"/>
    </xf>
    <xf numFmtId="0" fontId="14" fillId="0" borderId="3" xfId="0" applyFont="1" applyBorder="1" applyAlignment="1">
      <alignment horizontal="right" wrapText="1"/>
      <protection locked="0"/>
    </xf>
    <xf numFmtId="1" fontId="14" fillId="0" borderId="3" xfId="0" applyNumberFormat="1" applyFont="1" applyBorder="1" applyAlignment="1">
      <alignment horizontal="right"/>
      <protection locked="0"/>
    </xf>
    <xf numFmtId="165" fontId="14" fillId="0" borderId="0" xfId="0" applyNumberFormat="1" applyFont="1" applyAlignment="1">
      <protection locked="0"/>
    </xf>
    <xf numFmtId="164" fontId="10" fillId="0" borderId="0" xfId="0" applyNumberFormat="1" applyFont="1" applyAlignment="1">
      <alignment horizontal="right"/>
      <protection locked="0"/>
    </xf>
    <xf numFmtId="164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vertical="center" wrapText="1"/>
      <protection locked="0"/>
    </xf>
    <xf numFmtId="0" fontId="14" fillId="0" borderId="0" xfId="0" applyFont="1" applyAlignment="1">
      <alignment horizontal="left" vertical="top"/>
      <protection locked="0"/>
    </xf>
    <xf numFmtId="164" fontId="10" fillId="0" borderId="0" xfId="0" applyNumberFormat="1" applyFont="1" applyAlignment="1">
      <alignment horizontal="left" vertical="center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71" fontId="3" fillId="0" borderId="3" xfId="0" applyNumberFormat="1" applyFont="1" applyBorder="1" applyAlignment="1">
      <alignment horizontal="right"/>
      <protection locked="0"/>
    </xf>
    <xf numFmtId="171" fontId="14" fillId="0" borderId="3" xfId="0" applyNumberFormat="1" applyFont="1" applyBorder="1" applyAlignment="1">
      <alignment horizontal="right"/>
      <protection locked="0"/>
    </xf>
    <xf numFmtId="1" fontId="20" fillId="0" borderId="3" xfId="0" applyNumberFormat="1" applyFont="1" applyBorder="1" applyAlignment="1">
      <alignment horizontal="right"/>
      <protection locked="0"/>
    </xf>
    <xf numFmtId="165" fontId="33" fillId="0" borderId="0" xfId="0" applyNumberFormat="1" applyFont="1" applyAlignment="1">
      <protection locked="0"/>
    </xf>
    <xf numFmtId="0" fontId="33" fillId="0" borderId="0" xfId="0" applyFont="1" applyAlignment="1">
      <alignment horizontal="left"/>
      <protection locked="0"/>
    </xf>
    <xf numFmtId="164" fontId="33" fillId="0" borderId="0" xfId="0" applyNumberFormat="1" applyFont="1" applyAlignment="1">
      <alignment horizontal="right"/>
      <protection locked="0"/>
    </xf>
    <xf numFmtId="164" fontId="9" fillId="0" borderId="0" xfId="0" applyNumberFormat="1" applyFont="1" applyAlignment="1">
      <alignment horizontal="left" wrapText="1"/>
      <protection locked="0"/>
    </xf>
    <xf numFmtId="0" fontId="20" fillId="0" borderId="3" xfId="0" applyFont="1" applyBorder="1" applyAlignment="1">
      <alignment horizontal="right"/>
      <protection locked="0"/>
    </xf>
    <xf numFmtId="0" fontId="20" fillId="0" borderId="0" xfId="0" applyFont="1" applyAlignment="1">
      <alignment horizontal="left" wrapText="1"/>
      <protection locked="0"/>
    </xf>
    <xf numFmtId="0" fontId="20" fillId="0" borderId="0" xfId="0" applyFont="1" applyAlignment="1">
      <alignment horizontal="left"/>
      <protection locked="0"/>
    </xf>
    <xf numFmtId="164" fontId="16" fillId="0" borderId="0" xfId="0" applyNumberFormat="1" applyFont="1" applyAlignment="1">
      <alignment horizontal="left" wrapText="1"/>
      <protection locked="0"/>
    </xf>
    <xf numFmtId="0" fontId="33" fillId="0" borderId="0" xfId="0" applyFont="1" applyAlignment="1">
      <alignment horizontal="left" vertical="top"/>
      <protection locked="0"/>
    </xf>
    <xf numFmtId="0" fontId="20" fillId="0" borderId="0" xfId="0" applyFont="1" applyAlignment="1">
      <alignment horizontal="left" vertical="center" wrapText="1"/>
      <protection locked="0"/>
    </xf>
    <xf numFmtId="164" fontId="16" fillId="0" borderId="0" xfId="0" applyNumberFormat="1" applyFont="1" applyAlignment="1">
      <alignment horizontal="left" vertical="center" wrapText="1"/>
      <protection locked="0"/>
    </xf>
    <xf numFmtId="165" fontId="20" fillId="0" borderId="3" xfId="0" applyNumberFormat="1" applyFont="1" applyBorder="1" applyAlignment="1">
      <alignment horizontal="right"/>
      <protection locked="0"/>
    </xf>
    <xf numFmtId="165" fontId="20" fillId="0" borderId="0" xfId="0" applyNumberFormat="1" applyFont="1" applyAlignment="1">
      <alignment horizontal="right"/>
      <protection locked="0"/>
    </xf>
    <xf numFmtId="165" fontId="14" fillId="0" borderId="3" xfId="0" applyNumberFormat="1" applyFont="1" applyBorder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0" fontId="14" fillId="0" borderId="0" xfId="0" applyFont="1" applyAlignment="1">
      <alignment horizontal="left"/>
      <protection locked="0"/>
    </xf>
    <xf numFmtId="164" fontId="10" fillId="0" borderId="0" xfId="0" applyNumberFormat="1" applyFont="1" applyAlignment="1">
      <alignment horizontal="left" wrapText="1"/>
      <protection locked="0"/>
    </xf>
    <xf numFmtId="0" fontId="14" fillId="0" borderId="3" xfId="0" applyFont="1" applyBorder="1" applyAlignment="1">
      <alignment horizontal="right" vertical="center" wrapText="1"/>
      <protection locked="0"/>
    </xf>
    <xf numFmtId="2" fontId="3" fillId="0" borderId="3" xfId="0" applyNumberFormat="1" applyFont="1" applyBorder="1" applyAlignment="1">
      <alignment horizontal="right"/>
      <protection locked="0"/>
    </xf>
    <xf numFmtId="2" fontId="20" fillId="0" borderId="3" xfId="0" applyNumberFormat="1" applyFont="1" applyBorder="1" applyAlignment="1" applyProtection="1">
      <alignment horizontal="right"/>
    </xf>
    <xf numFmtId="167" fontId="3" fillId="0" borderId="3" xfId="0" applyNumberFormat="1" applyFont="1" applyBorder="1" applyAlignment="1">
      <alignment horizontal="right"/>
      <protection locked="0"/>
    </xf>
    <xf numFmtId="165" fontId="33" fillId="0" borderId="0" xfId="0" applyNumberFormat="1" applyFont="1" applyAlignment="1">
      <alignment horizontal="right"/>
      <protection locked="0"/>
    </xf>
    <xf numFmtId="165" fontId="33" fillId="0" borderId="0" xfId="0" applyNumberFormat="1" applyFont="1" applyAlignment="1">
      <alignment horizontal="left" vertical="top"/>
      <protection locked="0"/>
    </xf>
    <xf numFmtId="37" fontId="21" fillId="0" borderId="3" xfId="0" applyNumberFormat="1" applyFont="1" applyBorder="1" applyAlignment="1">
      <alignment horizontal="center"/>
      <protection locked="0"/>
    </xf>
    <xf numFmtId="4" fontId="21" fillId="0" borderId="3" xfId="0" applyNumberFormat="1" applyFont="1" applyBorder="1" applyAlignment="1">
      <alignment horizontal="right"/>
      <protection locked="0"/>
    </xf>
    <xf numFmtId="165" fontId="26" fillId="0" borderId="0" xfId="0" applyNumberFormat="1" applyFont="1" applyAlignment="1">
      <protection locked="0"/>
    </xf>
    <xf numFmtId="165" fontId="25" fillId="0" borderId="0" xfId="0" applyNumberFormat="1" applyFont="1" applyAlignment="1">
      <alignment horizontal="left" vertical="top"/>
      <protection locked="0"/>
    </xf>
    <xf numFmtId="4" fontId="11" fillId="0" borderId="3" xfId="0" applyNumberFormat="1" applyFont="1" applyBorder="1" applyAlignment="1">
      <alignment horizontal="right" wrapText="1"/>
      <protection locked="0"/>
    </xf>
    <xf numFmtId="165" fontId="26" fillId="0" borderId="0" xfId="0" applyNumberFormat="1" applyFont="1" applyAlignment="1">
      <alignment horizontal="right"/>
      <protection locked="0"/>
    </xf>
    <xf numFmtId="0" fontId="20" fillId="0" borderId="0" xfId="0" applyFont="1" applyAlignment="1">
      <alignment horizontal="right" vertical="center"/>
      <protection locked="0"/>
    </xf>
    <xf numFmtId="165" fontId="14" fillId="0" borderId="3" xfId="0" applyNumberFormat="1" applyFont="1" applyBorder="1" applyAlignment="1" applyProtection="1">
      <alignment horizontal="right"/>
    </xf>
    <xf numFmtId="165" fontId="14" fillId="0" borderId="0" xfId="0" applyNumberFormat="1" applyFont="1" applyAlignment="1">
      <alignment horizontal="left" vertical="top"/>
      <protection locked="0"/>
    </xf>
    <xf numFmtId="0" fontId="14" fillId="0" borderId="0" xfId="0" applyFont="1" applyAlignment="1">
      <alignment horizontal="left" vertical="center"/>
      <protection locked="0"/>
    </xf>
    <xf numFmtId="165" fontId="14" fillId="0" borderId="0" xfId="0" applyNumberFormat="1" applyFont="1" applyAlignment="1">
      <alignment horizontal="left" vertical="center"/>
      <protection locked="0"/>
    </xf>
    <xf numFmtId="166" fontId="3" fillId="0" borderId="3" xfId="0" applyNumberFormat="1" applyFont="1" applyBorder="1" applyAlignment="1">
      <alignment horizontal="right"/>
      <protection locked="0"/>
    </xf>
    <xf numFmtId="166" fontId="14" fillId="0" borderId="3" xfId="0" applyNumberFormat="1" applyFont="1" applyBorder="1" applyAlignment="1">
      <alignment horizontal="right"/>
      <protection locked="0"/>
    </xf>
    <xf numFmtId="0" fontId="14" fillId="2" borderId="0" xfId="0" applyFont="1" applyFill="1" applyAlignment="1">
      <alignment horizontal="left" vertical="top"/>
      <protection locked="0"/>
    </xf>
    <xf numFmtId="165" fontId="16" fillId="0" borderId="0" xfId="0" applyNumberFormat="1" applyFont="1" applyAlignment="1">
      <alignment horizontal="left" vertical="center" wrapText="1"/>
      <protection locked="0"/>
    </xf>
    <xf numFmtId="164" fontId="3" fillId="0" borderId="3" xfId="0" applyNumberFormat="1" applyFont="1" applyBorder="1" applyAlignment="1">
      <alignment horizontal="right"/>
      <protection locked="0"/>
    </xf>
    <xf numFmtId="165" fontId="9" fillId="0" borderId="0" xfId="0" applyNumberFormat="1" applyFont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top" wrapText="1"/>
      <protection locked="0"/>
    </xf>
    <xf numFmtId="4" fontId="23" fillId="0" borderId="3" xfId="0" applyNumberFormat="1" applyFont="1" applyBorder="1" applyAlignment="1">
      <alignment horizontal="right" vertical="top" wrapText="1"/>
      <protection locked="0"/>
    </xf>
    <xf numFmtId="4" fontId="23" fillId="0" borderId="3" xfId="0" applyNumberFormat="1" applyFont="1" applyBorder="1" applyAlignment="1">
      <alignment horizontal="right" wrapText="1"/>
      <protection locked="0"/>
    </xf>
    <xf numFmtId="169" fontId="20" fillId="0" borderId="3" xfId="0" applyNumberFormat="1" applyFont="1" applyBorder="1" applyAlignment="1">
      <alignment horizontal="right"/>
      <protection locked="0"/>
    </xf>
    <xf numFmtId="169" fontId="3" fillId="0" borderId="3" xfId="0" applyNumberFormat="1" applyFont="1" applyBorder="1" applyAlignment="1">
      <alignment horizontal="right"/>
      <protection locked="0"/>
    </xf>
    <xf numFmtId="37" fontId="36" fillId="0" borderId="0" xfId="0" applyNumberFormat="1" applyFont="1" applyAlignment="1">
      <alignment horizontal="left" vertical="center" wrapText="1"/>
      <protection locked="0"/>
    </xf>
    <xf numFmtId="0" fontId="37" fillId="0" borderId="0" xfId="0" applyFont="1" applyAlignment="1">
      <alignment horizontal="left" vertical="center" wrapText="1"/>
      <protection locked="0"/>
    </xf>
    <xf numFmtId="0" fontId="37" fillId="0" borderId="0" xfId="0" applyFont="1" applyAlignment="1">
      <alignment horizontal="right" vertical="center" wrapText="1"/>
      <protection locked="0"/>
    </xf>
    <xf numFmtId="1" fontId="37" fillId="0" borderId="0" xfId="0" applyNumberFormat="1" applyFont="1" applyAlignment="1">
      <alignment horizontal="left" vertical="center" wrapText="1"/>
      <protection locked="0"/>
    </xf>
    <xf numFmtId="4" fontId="9" fillId="0" borderId="0" xfId="0" applyNumberFormat="1" applyFont="1" applyAlignment="1">
      <alignment horizontal="left" vertical="center" wrapText="1"/>
      <protection locked="0"/>
    </xf>
    <xf numFmtId="4" fontId="15" fillId="0" borderId="0" xfId="0" applyNumberFormat="1" applyFont="1" applyAlignment="1">
      <alignment horizontal="left" vertical="center" wrapText="1"/>
      <protection locked="0"/>
    </xf>
    <xf numFmtId="165" fontId="9" fillId="0" borderId="0" xfId="0" applyNumberFormat="1" applyFont="1" applyAlignment="1">
      <alignment vertical="center" wrapText="1"/>
      <protection locked="0"/>
    </xf>
    <xf numFmtId="49" fontId="20" fillId="0" borderId="3" xfId="0" applyNumberFormat="1" applyFont="1" applyBorder="1" applyAlignment="1" applyProtection="1">
      <alignment horizontal="left" wrapText="1"/>
    </xf>
    <xf numFmtId="0" fontId="33" fillId="0" borderId="0" xfId="0" applyFont="1" applyAlignment="1">
      <alignment horizontal="left" wrapText="1"/>
      <protection locked="0"/>
    </xf>
    <xf numFmtId="164" fontId="3" fillId="0" borderId="0" xfId="0" applyNumberFormat="1" applyFont="1" applyAlignment="1">
      <alignment horizontal="right" vertical="center" wrapText="1"/>
      <protection locked="0"/>
    </xf>
    <xf numFmtId="37" fontId="3" fillId="0" borderId="2" xfId="0" applyNumberFormat="1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0" fontId="33" fillId="0" borderId="2" xfId="0" applyFont="1" applyBorder="1" applyAlignment="1">
      <alignment horizontal="left" wrapText="1"/>
      <protection locked="0"/>
    </xf>
    <xf numFmtId="0" fontId="3" fillId="0" borderId="2" xfId="0" applyFont="1" applyBorder="1" applyAlignment="1">
      <alignment horizontal="right" vertical="center" wrapText="1"/>
      <protection locked="0"/>
    </xf>
    <xf numFmtId="164" fontId="3" fillId="0" borderId="2" xfId="0" applyNumberFormat="1" applyFont="1" applyBorder="1" applyAlignment="1">
      <alignment horizontal="right" vertical="center" wrapText="1"/>
      <protection locked="0"/>
    </xf>
    <xf numFmtId="4" fontId="9" fillId="0" borderId="2" xfId="0" applyNumberFormat="1" applyFont="1" applyBorder="1" applyAlignment="1">
      <alignment horizontal="left" vertical="center" wrapText="1"/>
      <protection locked="0"/>
    </xf>
    <xf numFmtId="4" fontId="15" fillId="0" borderId="2" xfId="0" applyNumberFormat="1" applyFont="1" applyBorder="1" applyAlignment="1">
      <alignment horizontal="left" vertical="center" wrapText="1"/>
      <protection locked="0"/>
    </xf>
    <xf numFmtId="1" fontId="3" fillId="0" borderId="0" xfId="0" applyNumberFormat="1" applyFont="1" applyAlignment="1">
      <alignment horizontal="center" vertical="top" wrapText="1"/>
      <protection locked="0"/>
    </xf>
    <xf numFmtId="1" fontId="3" fillId="0" borderId="0" xfId="0" applyNumberFormat="1" applyFont="1" applyAlignment="1">
      <alignment horizontal="right" vertical="top"/>
      <protection locked="0"/>
    </xf>
    <xf numFmtId="0" fontId="38" fillId="0" borderId="0" xfId="0" applyFont="1" applyAlignment="1">
      <alignment horizontal="left" wrapText="1"/>
      <protection locked="0"/>
    </xf>
    <xf numFmtId="0" fontId="38" fillId="0" borderId="0" xfId="0" applyFont="1" applyAlignment="1">
      <alignment horizontal="right" vertical="center" wrapText="1"/>
      <protection locked="0"/>
    </xf>
    <xf numFmtId="0" fontId="38" fillId="0" borderId="0" xfId="0" applyFont="1" applyAlignment="1">
      <alignment horizontal="left" vertical="center" wrapText="1"/>
      <protection locked="0"/>
    </xf>
    <xf numFmtId="1" fontId="38" fillId="0" borderId="0" xfId="0" applyNumberFormat="1" applyFont="1" applyAlignment="1">
      <alignment horizontal="left" vertical="center" wrapText="1"/>
      <protection locked="0"/>
    </xf>
    <xf numFmtId="4" fontId="38" fillId="0" borderId="0" xfId="0" applyNumberFormat="1" applyFont="1" applyAlignment="1">
      <alignment horizontal="left" vertical="center" wrapText="1"/>
      <protection locked="0"/>
    </xf>
    <xf numFmtId="165" fontId="38" fillId="0" borderId="0" xfId="0" applyNumberFormat="1" applyFont="1" applyAlignment="1">
      <alignment vertical="center" wrapText="1"/>
      <protection locked="0"/>
    </xf>
    <xf numFmtId="0" fontId="22" fillId="0" borderId="0" xfId="0" applyFont="1" applyAlignment="1">
      <alignment horizontal="left" wrapText="1"/>
      <protection locked="0"/>
    </xf>
    <xf numFmtId="0" fontId="22" fillId="0" borderId="0" xfId="0" applyFont="1" applyAlignment="1">
      <alignment horizontal="right" vertical="center"/>
      <protection locked="0"/>
    </xf>
    <xf numFmtId="0" fontId="22" fillId="0" borderId="0" xfId="0" applyFont="1" applyAlignment="1">
      <alignment horizontal="left" vertical="center" wrapText="1"/>
      <protection locked="0"/>
    </xf>
    <xf numFmtId="169" fontId="3" fillId="0" borderId="0" xfId="0" applyNumberFormat="1" applyFont="1" applyAlignment="1">
      <alignment horizontal="left" wrapText="1"/>
      <protection locked="0"/>
    </xf>
    <xf numFmtId="170" fontId="3" fillId="0" borderId="0" xfId="0" applyNumberFormat="1" applyFont="1" applyAlignment="1">
      <alignment horizontal="left" wrapText="1"/>
      <protection locked="0"/>
    </xf>
    <xf numFmtId="168" fontId="3" fillId="0" borderId="0" xfId="0" applyNumberFormat="1" applyFont="1" applyAlignment="1">
      <alignment horizontal="left" wrapText="1"/>
      <protection locked="0"/>
    </xf>
    <xf numFmtId="0" fontId="8" fillId="0" borderId="0" xfId="0" applyFont="1" applyAlignment="1" applyProtection="1">
      <alignment horizontal="right" vertical="center"/>
    </xf>
    <xf numFmtId="14" fontId="5" fillId="0" borderId="0" xfId="0" applyNumberFormat="1" applyFont="1" applyAlignment="1" applyProtection="1">
      <alignment horizontal="right" vertical="center"/>
    </xf>
    <xf numFmtId="0" fontId="2" fillId="4" borderId="0" xfId="0" applyFont="1" applyFill="1" applyAlignment="1" applyProtection="1">
      <alignment horizontal="left" vertical="center"/>
    </xf>
    <xf numFmtId="0" fontId="7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horizontal="right" vertical="center"/>
    </xf>
    <xf numFmtId="4" fontId="2" fillId="4" borderId="0" xfId="0" applyNumberFormat="1" applyFont="1" applyFill="1" applyAlignment="1" applyProtection="1">
      <alignment vertical="center"/>
    </xf>
    <xf numFmtId="4" fontId="39" fillId="0" borderId="0" xfId="0" applyNumberFormat="1" applyFont="1" applyAlignment="1">
      <alignment horizontal="right" vertical="center"/>
      <protection locked="0"/>
    </xf>
    <xf numFmtId="4" fontId="39" fillId="0" borderId="0" xfId="0" applyNumberFormat="1" applyFont="1" applyAlignment="1">
      <alignment horizontal="left" vertical="center" wrapText="1"/>
      <protection locked="0"/>
    </xf>
    <xf numFmtId="4" fontId="40" fillId="0" borderId="0" xfId="0" applyNumberFormat="1" applyFont="1" applyAlignment="1">
      <alignment horizontal="center" vertical="center" wrapText="1"/>
      <protection locked="0"/>
    </xf>
    <xf numFmtId="4" fontId="40" fillId="0" borderId="0" xfId="0" applyNumberFormat="1" applyFont="1" applyAlignment="1">
      <alignment horizontal="right" vertical="center"/>
      <protection locked="0"/>
    </xf>
    <xf numFmtId="4" fontId="41" fillId="0" borderId="0" xfId="0" applyNumberFormat="1" applyFont="1" applyAlignment="1">
      <alignment horizontal="right" vertical="center" wrapText="1"/>
      <protection locked="0"/>
    </xf>
    <xf numFmtId="4" fontId="39" fillId="5" borderId="0" xfId="0" applyNumberFormat="1" applyFont="1" applyFill="1" applyAlignment="1">
      <alignment horizontal="right" vertical="center"/>
      <protection locked="0"/>
    </xf>
    <xf numFmtId="0" fontId="3" fillId="0" borderId="0" xfId="0" applyFont="1" applyAlignment="1">
      <alignment horizontal="left" vertical="top" wrapText="1"/>
      <protection locked="0"/>
    </xf>
    <xf numFmtId="0" fontId="9" fillId="0" borderId="0" xfId="0" applyFont="1" applyAlignment="1" applyProtection="1">
      <alignment horizontal="center" wrapText="1"/>
    </xf>
    <xf numFmtId="0" fontId="13" fillId="0" borderId="0" xfId="0" applyFont="1" applyAlignment="1">
      <alignment horizontal="center" vertical="top" wrapText="1"/>
      <protection locked="0"/>
    </xf>
    <xf numFmtId="0" fontId="14" fillId="0" borderId="0" xfId="0" applyFont="1" applyAlignment="1">
      <alignment horizontal="center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C0CD-3456-408F-B055-3BCCD175530F}">
  <dimension ref="C9:AC31"/>
  <sheetViews>
    <sheetView showGridLines="0" defaultGridColor="0" topLeftCell="A10" colorId="55" zoomScale="130" zoomScaleNormal="130" workbookViewId="0">
      <selection activeCell="M31" sqref="M31"/>
    </sheetView>
  </sheetViews>
  <sheetFormatPr defaultColWidth="10.5" defaultRowHeight="12.75" x14ac:dyDescent="0.2"/>
  <cols>
    <col min="1" max="1" width="10.5" style="9"/>
    <col min="2" max="2" width="6" style="9" customWidth="1"/>
    <col min="3" max="3" width="9.1640625" style="14" customWidth="1"/>
    <col min="4" max="4" width="16.1640625" style="10" customWidth="1"/>
    <col min="5" max="5" width="68.6640625" style="11" customWidth="1"/>
    <col min="6" max="6" width="23.6640625" style="12" customWidth="1"/>
    <col min="7" max="7" width="16.1640625" style="53" customWidth="1"/>
    <col min="8" max="8" width="18.33203125" style="54" customWidth="1"/>
    <col min="9" max="9" width="8.33203125" style="67" customWidth="1"/>
    <col min="10" max="10" width="5" style="67" customWidth="1"/>
    <col min="11" max="15" width="10.5" style="13"/>
    <col min="16" max="27" width="10.5" style="9"/>
    <col min="28" max="29" width="10.5" style="13"/>
    <col min="30" max="16384" width="10.5" style="9"/>
  </cols>
  <sheetData>
    <row r="9" spans="3:10" ht="14.25" customHeight="1" x14ac:dyDescent="0.2">
      <c r="C9" s="62"/>
      <c r="D9" s="63"/>
      <c r="E9" s="63"/>
      <c r="F9" s="63"/>
      <c r="G9" s="63"/>
      <c r="H9" s="63"/>
      <c r="I9" s="68"/>
      <c r="J9" s="59"/>
    </row>
    <row r="10" spans="3:10" ht="31.5" customHeight="1" x14ac:dyDescent="0.2">
      <c r="C10" s="64"/>
      <c r="D10" s="18" t="s">
        <v>337</v>
      </c>
      <c r="E10" s="59"/>
      <c r="F10" s="59"/>
      <c r="G10" s="59"/>
      <c r="H10" s="59"/>
      <c r="I10" s="69"/>
      <c r="J10" s="59"/>
    </row>
    <row r="11" spans="3:10" ht="14.25" customHeight="1" x14ac:dyDescent="0.2">
      <c r="C11" s="64"/>
      <c r="D11" s="59"/>
      <c r="E11" s="59"/>
      <c r="F11" s="59"/>
      <c r="G11" s="59"/>
      <c r="H11" s="59"/>
      <c r="I11" s="69"/>
      <c r="J11" s="59"/>
    </row>
    <row r="12" spans="3:10" ht="20.100000000000001" customHeight="1" x14ac:dyDescent="0.25">
      <c r="C12" s="64"/>
      <c r="D12" s="55" t="s">
        <v>315</v>
      </c>
      <c r="E12" s="76" t="s">
        <v>346</v>
      </c>
      <c r="F12" s="59"/>
      <c r="G12" s="59"/>
      <c r="H12" s="59"/>
      <c r="I12" s="69"/>
      <c r="J12" s="59"/>
    </row>
    <row r="13" spans="3:10" ht="20.100000000000001" customHeight="1" x14ac:dyDescent="0.15">
      <c r="C13" s="24"/>
      <c r="D13" s="56"/>
      <c r="E13" s="17"/>
      <c r="F13" s="17"/>
      <c r="G13" s="17"/>
      <c r="H13" s="17"/>
      <c r="I13" s="70"/>
      <c r="J13" s="17"/>
    </row>
    <row r="14" spans="3:10" ht="20.100000000000001" customHeight="1" x14ac:dyDescent="0.15">
      <c r="C14" s="24"/>
      <c r="D14" s="55" t="s">
        <v>316</v>
      </c>
      <c r="E14" s="29" t="s">
        <v>348</v>
      </c>
      <c r="F14" s="29"/>
      <c r="G14" s="55"/>
      <c r="H14" s="40"/>
      <c r="I14" s="70"/>
      <c r="J14" s="17"/>
    </row>
    <row r="15" spans="3:10" ht="20.100000000000001" customHeight="1" x14ac:dyDescent="0.15">
      <c r="C15" s="24"/>
      <c r="D15" s="56"/>
      <c r="E15" s="17"/>
      <c r="F15" s="17"/>
      <c r="G15" s="55"/>
      <c r="H15" s="40"/>
      <c r="I15" s="70"/>
      <c r="J15" s="17"/>
    </row>
    <row r="16" spans="3:10" ht="20.100000000000001" customHeight="1" x14ac:dyDescent="0.15">
      <c r="C16" s="24"/>
      <c r="D16" s="55" t="s">
        <v>318</v>
      </c>
      <c r="E16" s="29" t="s">
        <v>347</v>
      </c>
      <c r="F16" s="17"/>
      <c r="G16" s="29"/>
      <c r="H16" s="29"/>
      <c r="I16" s="70"/>
      <c r="J16" s="17"/>
    </row>
    <row r="17" spans="3:29" ht="20.100000000000001" customHeight="1" x14ac:dyDescent="0.15">
      <c r="C17" s="24"/>
      <c r="D17" s="56"/>
      <c r="E17" s="29"/>
      <c r="F17" s="17"/>
      <c r="G17" s="29"/>
      <c r="H17" s="29"/>
      <c r="I17" s="70"/>
      <c r="J17" s="17"/>
    </row>
    <row r="18" spans="3:29" ht="20.100000000000001" customHeight="1" x14ac:dyDescent="0.15">
      <c r="C18" s="24"/>
      <c r="D18" s="55" t="s">
        <v>345</v>
      </c>
      <c r="E18" s="29" t="s">
        <v>350</v>
      </c>
      <c r="F18" s="17"/>
      <c r="G18" s="308" t="s">
        <v>317</v>
      </c>
      <c r="H18" s="309">
        <v>45421</v>
      </c>
      <c r="I18" s="70"/>
      <c r="J18" s="17"/>
    </row>
    <row r="19" spans="3:29" ht="20.100000000000001" customHeight="1" x14ac:dyDescent="0.15">
      <c r="C19" s="24"/>
      <c r="D19" s="17"/>
      <c r="E19" s="17"/>
      <c r="F19" s="17"/>
      <c r="G19" s="17"/>
      <c r="H19" s="308" t="s">
        <v>380</v>
      </c>
      <c r="I19" s="70"/>
      <c r="J19" s="17"/>
    </row>
    <row r="20" spans="3:29" ht="20.100000000000001" customHeight="1" x14ac:dyDescent="0.15">
      <c r="C20" s="24"/>
      <c r="D20" s="52"/>
      <c r="E20" s="52"/>
      <c r="F20" s="52"/>
      <c r="G20" s="52"/>
      <c r="H20" s="52"/>
      <c r="I20" s="70"/>
      <c r="J20" s="17"/>
    </row>
    <row r="21" spans="3:29" ht="20.100000000000001" customHeight="1" x14ac:dyDescent="0.15">
      <c r="C21" s="24"/>
      <c r="D21" s="20" t="s">
        <v>319</v>
      </c>
      <c r="E21" s="17"/>
      <c r="F21" s="17"/>
      <c r="G21" s="17"/>
      <c r="H21" s="30">
        <f>'SOUPIS PRACÍ'!I253</f>
        <v>0</v>
      </c>
      <c r="I21" s="70"/>
      <c r="J21" s="17"/>
    </row>
    <row r="22" spans="3:29" ht="20.100000000000001" customHeight="1" x14ac:dyDescent="0.15">
      <c r="C22" s="24"/>
      <c r="D22" s="52"/>
      <c r="E22" s="52"/>
      <c r="F22" s="52"/>
      <c r="G22" s="52"/>
      <c r="H22" s="52"/>
      <c r="I22" s="70"/>
      <c r="J22" s="17"/>
    </row>
    <row r="23" spans="3:29" ht="20.100000000000001" customHeight="1" x14ac:dyDescent="0.15">
      <c r="C23" s="24"/>
      <c r="D23" s="17"/>
      <c r="E23" s="17"/>
      <c r="F23" s="60" t="s">
        <v>321</v>
      </c>
      <c r="G23" s="60" t="s">
        <v>320</v>
      </c>
      <c r="H23" s="60" t="s">
        <v>322</v>
      </c>
      <c r="I23" s="70"/>
      <c r="J23" s="17"/>
    </row>
    <row r="24" spans="3:29" ht="20.100000000000001" customHeight="1" x14ac:dyDescent="0.15">
      <c r="C24" s="24"/>
      <c r="D24" s="29" t="s">
        <v>323</v>
      </c>
      <c r="E24" s="29" t="s">
        <v>324</v>
      </c>
      <c r="F24" s="31">
        <f>SUM(H21)</f>
        <v>0</v>
      </c>
      <c r="G24" s="61">
        <v>0.21</v>
      </c>
      <c r="H24" s="31">
        <f>F24*0.21</f>
        <v>0</v>
      </c>
      <c r="I24" s="70"/>
      <c r="J24" s="17"/>
    </row>
    <row r="25" spans="3:29" ht="20.100000000000001" customHeight="1" x14ac:dyDescent="0.15">
      <c r="C25" s="24"/>
      <c r="D25" s="17"/>
      <c r="E25" s="29" t="s">
        <v>325</v>
      </c>
      <c r="F25" s="31">
        <f>ROUND(SUM(BE62:BE177), 2)</f>
        <v>0</v>
      </c>
      <c r="G25" s="61">
        <v>0.15</v>
      </c>
      <c r="H25" s="31">
        <f>ROUND(ROUND((SUM(BE62:BE177)), 2)*G25, 2)</f>
        <v>0</v>
      </c>
      <c r="I25" s="70"/>
      <c r="J25" s="17"/>
    </row>
    <row r="26" spans="3:29" ht="20.100000000000001" customHeight="1" x14ac:dyDescent="0.15">
      <c r="C26" s="24"/>
      <c r="D26" s="17"/>
      <c r="E26" s="29" t="s">
        <v>326</v>
      </c>
      <c r="F26" s="31">
        <f>ROUND(SUM(BF62:BF177), 2)</f>
        <v>0</v>
      </c>
      <c r="G26" s="61">
        <v>0.21</v>
      </c>
      <c r="H26" s="31">
        <v>0</v>
      </c>
      <c r="I26" s="70"/>
      <c r="J26" s="17"/>
    </row>
    <row r="27" spans="3:29" ht="20.100000000000001" customHeight="1" x14ac:dyDescent="0.15">
      <c r="C27" s="24"/>
      <c r="D27" s="17"/>
      <c r="E27" s="29" t="s">
        <v>327</v>
      </c>
      <c r="F27" s="31">
        <f>ROUND(SUM(BG62:BG177), 2)</f>
        <v>0</v>
      </c>
      <c r="G27" s="61">
        <v>0.15</v>
      </c>
      <c r="H27" s="31">
        <v>0</v>
      </c>
      <c r="I27" s="70"/>
      <c r="J27" s="17"/>
    </row>
    <row r="28" spans="3:29" ht="20.100000000000001" customHeight="1" x14ac:dyDescent="0.15">
      <c r="C28" s="24"/>
      <c r="D28" s="17"/>
      <c r="E28" s="29" t="s">
        <v>328</v>
      </c>
      <c r="F28" s="31">
        <f>ROUND(SUM(BH62:BH177), 2)</f>
        <v>0</v>
      </c>
      <c r="G28" s="61">
        <v>0</v>
      </c>
      <c r="H28" s="31">
        <v>0</v>
      </c>
      <c r="I28" s="70"/>
      <c r="J28" s="17"/>
    </row>
    <row r="29" spans="3:29" ht="20.100000000000001" customHeight="1" x14ac:dyDescent="0.15">
      <c r="C29" s="24"/>
      <c r="D29" s="17"/>
      <c r="E29" s="17"/>
      <c r="F29" s="17"/>
      <c r="G29" s="17"/>
      <c r="H29" s="17"/>
      <c r="I29" s="70"/>
      <c r="J29" s="17"/>
    </row>
    <row r="30" spans="3:29" s="49" customFormat="1" ht="20.100000000000001" customHeight="1" x14ac:dyDescent="0.15">
      <c r="C30" s="72"/>
      <c r="D30" s="310" t="s">
        <v>329</v>
      </c>
      <c r="E30" s="311"/>
      <c r="F30" s="311"/>
      <c r="G30" s="312" t="s">
        <v>349</v>
      </c>
      <c r="H30" s="313">
        <f>SUM(H21:H28)</f>
        <v>0</v>
      </c>
      <c r="I30" s="73"/>
      <c r="J30" s="74"/>
      <c r="K30" s="75"/>
      <c r="L30" s="75"/>
      <c r="M30" s="75"/>
      <c r="N30" s="75"/>
      <c r="O30" s="75"/>
      <c r="AB30" s="75"/>
      <c r="AC30" s="75"/>
    </row>
    <row r="31" spans="3:29" ht="27.75" customHeight="1" x14ac:dyDescent="0.15">
      <c r="C31" s="65"/>
      <c r="D31" s="66"/>
      <c r="E31" s="66"/>
      <c r="F31" s="66"/>
      <c r="G31" s="66"/>
      <c r="H31" s="66"/>
      <c r="I31" s="71"/>
      <c r="J31" s="17"/>
    </row>
  </sheetData>
  <pageMargins left="0.82" right="0.31496062992125984" top="0.68" bottom="0.38" header="0" footer="0"/>
  <pageSetup paperSize="9" scale="98" fitToHeight="100" orientation="landscape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0B235-D8C7-4445-AE13-1E88B2AF0683}">
  <dimension ref="C1:Y250"/>
  <sheetViews>
    <sheetView showGridLines="0" defaultGridColor="0" colorId="55" zoomScaleNormal="100" workbookViewId="0">
      <selection activeCell="R22" sqref="R22"/>
    </sheetView>
  </sheetViews>
  <sheetFormatPr defaultColWidth="10.5" defaultRowHeight="12.75" x14ac:dyDescent="0.2"/>
  <cols>
    <col min="1" max="1" width="10.5" style="9"/>
    <col min="2" max="2" width="4.5" style="9" customWidth="1"/>
    <col min="3" max="3" width="8.83203125" style="10" customWidth="1"/>
    <col min="4" max="4" width="13.83203125" style="11" customWidth="1"/>
    <col min="5" max="5" width="37.5" style="11" customWidth="1"/>
    <col min="6" max="6" width="10.5" style="9"/>
    <col min="7" max="7" width="34.6640625" style="9" customWidth="1"/>
    <col min="8" max="8" width="16" style="9" customWidth="1"/>
    <col min="9" max="9" width="12.1640625" style="9" customWidth="1"/>
    <col min="10" max="10" width="16.83203125" style="9" customWidth="1"/>
    <col min="11" max="11" width="8.5" style="9" customWidth="1"/>
    <col min="12" max="12" width="5.1640625" style="9" customWidth="1"/>
    <col min="13" max="16384" width="10.5" style="9"/>
  </cols>
  <sheetData>
    <row r="1" spans="3:25" x14ac:dyDescent="0.2">
      <c r="C1" s="38"/>
      <c r="D1" s="38"/>
      <c r="E1" s="38"/>
    </row>
    <row r="2" spans="3:25" x14ac:dyDescent="0.2">
      <c r="C2" s="16"/>
      <c r="D2" s="15"/>
      <c r="E2" s="15"/>
    </row>
    <row r="3" spans="3:25" ht="19.5" customHeight="1" x14ac:dyDescent="0.15">
      <c r="C3" s="22"/>
      <c r="D3" s="23"/>
      <c r="E3" s="23"/>
      <c r="F3" s="23"/>
      <c r="G3" s="23"/>
      <c r="H3" s="23"/>
      <c r="I3" s="23"/>
      <c r="J3" s="23"/>
      <c r="K3" s="41"/>
      <c r="L3" s="32"/>
      <c r="M3" s="32"/>
    </row>
    <row r="4" spans="3:25" ht="19.5" customHeight="1" x14ac:dyDescent="0.15">
      <c r="C4" s="24"/>
      <c r="D4" s="18" t="s">
        <v>330</v>
      </c>
      <c r="E4" s="18"/>
      <c r="F4" s="17"/>
      <c r="G4" s="17"/>
      <c r="H4" s="17"/>
      <c r="I4" s="17"/>
      <c r="J4" s="17"/>
      <c r="K4" s="42"/>
    </row>
    <row r="5" spans="3:25" ht="21.95" customHeight="1" x14ac:dyDescent="0.15">
      <c r="C5" s="24"/>
      <c r="D5" s="17"/>
      <c r="E5" s="17"/>
      <c r="F5" s="17"/>
      <c r="G5" s="17"/>
      <c r="H5" s="17"/>
      <c r="I5" s="17"/>
      <c r="J5" s="17"/>
      <c r="K5" s="43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3:25" ht="21.95" customHeight="1" x14ac:dyDescent="0.15">
      <c r="C6" s="24"/>
      <c r="D6" s="55" t="s">
        <v>315</v>
      </c>
      <c r="E6" s="44" t="s">
        <v>346</v>
      </c>
      <c r="F6" s="17"/>
      <c r="G6" s="17"/>
      <c r="H6" s="17"/>
      <c r="I6" s="17"/>
      <c r="J6" s="17"/>
      <c r="K6" s="42"/>
    </row>
    <row r="7" spans="3:25" ht="21.95" customHeight="1" x14ac:dyDescent="0.15">
      <c r="C7" s="24"/>
      <c r="D7" s="56"/>
      <c r="E7" s="17"/>
      <c r="F7" s="17"/>
      <c r="G7" s="17"/>
      <c r="H7" s="17"/>
      <c r="I7" s="17"/>
      <c r="J7" s="17"/>
      <c r="K7" s="42"/>
    </row>
    <row r="8" spans="3:25" ht="21.95" customHeight="1" x14ac:dyDescent="0.15">
      <c r="C8" s="24"/>
      <c r="D8" s="55" t="s">
        <v>316</v>
      </c>
      <c r="E8" s="29" t="s">
        <v>348</v>
      </c>
      <c r="F8" s="17"/>
      <c r="G8" s="17"/>
      <c r="H8" s="55"/>
      <c r="I8" s="40"/>
      <c r="J8" s="21"/>
      <c r="K8" s="42"/>
    </row>
    <row r="9" spans="3:25" ht="21.95" customHeight="1" x14ac:dyDescent="0.15">
      <c r="C9" s="24"/>
      <c r="D9" s="56"/>
      <c r="E9" s="17"/>
      <c r="F9" s="17"/>
      <c r="G9" s="17"/>
      <c r="H9" s="56"/>
      <c r="I9" s="17"/>
      <c r="J9" s="17"/>
      <c r="K9" s="42"/>
    </row>
    <row r="10" spans="3:25" ht="21.95" customHeight="1" x14ac:dyDescent="0.15">
      <c r="C10" s="24"/>
      <c r="D10" s="55" t="s">
        <v>318</v>
      </c>
      <c r="E10" s="29" t="s">
        <v>347</v>
      </c>
      <c r="F10" s="17"/>
      <c r="G10" s="17"/>
      <c r="H10" s="55"/>
      <c r="I10" s="29"/>
      <c r="J10" s="17"/>
      <c r="K10" s="42"/>
    </row>
    <row r="11" spans="3:25" ht="21.95" customHeight="1" x14ac:dyDescent="0.15">
      <c r="C11" s="24"/>
      <c r="D11" s="55" t="s">
        <v>345</v>
      </c>
      <c r="E11" s="29" t="s">
        <v>350</v>
      </c>
      <c r="F11" s="17"/>
      <c r="G11" s="17"/>
      <c r="H11" s="55"/>
      <c r="I11" s="308" t="s">
        <v>317</v>
      </c>
      <c r="J11" s="309">
        <v>45421</v>
      </c>
      <c r="K11" s="42"/>
    </row>
    <row r="12" spans="3:25" ht="21.95" customHeight="1" x14ac:dyDescent="0.15">
      <c r="C12" s="24"/>
      <c r="D12" s="17"/>
      <c r="E12" s="17"/>
      <c r="F12" s="17"/>
      <c r="G12" s="17"/>
      <c r="H12" s="17"/>
      <c r="I12" s="17"/>
      <c r="J12" s="308" t="s">
        <v>380</v>
      </c>
      <c r="K12" s="42"/>
    </row>
    <row r="13" spans="3:25" ht="21.95" customHeight="1" x14ac:dyDescent="0.15">
      <c r="C13" s="24"/>
      <c r="D13" s="57" t="s">
        <v>331</v>
      </c>
      <c r="E13" s="57"/>
      <c r="F13" s="57" t="s">
        <v>332</v>
      </c>
      <c r="G13" s="57"/>
      <c r="H13" s="58" t="s">
        <v>333</v>
      </c>
      <c r="I13" s="57"/>
      <c r="J13" s="58" t="s">
        <v>334</v>
      </c>
      <c r="K13" s="43"/>
      <c r="L13" s="32"/>
    </row>
    <row r="14" spans="3:25" ht="21.95" customHeight="1" x14ac:dyDescent="0.15">
      <c r="C14" s="24"/>
      <c r="D14" s="17"/>
      <c r="E14" s="17"/>
      <c r="F14" s="17"/>
      <c r="G14" s="17"/>
      <c r="H14" s="17"/>
      <c r="I14" s="17"/>
      <c r="J14" s="17"/>
      <c r="K14" s="42"/>
    </row>
    <row r="15" spans="3:25" s="49" customFormat="1" ht="21.95" customHeight="1" x14ac:dyDescent="0.15">
      <c r="C15" s="45"/>
      <c r="D15" s="18" t="s">
        <v>335</v>
      </c>
      <c r="E15" s="18"/>
      <c r="F15" s="46"/>
      <c r="G15" s="46"/>
      <c r="H15" s="51">
        <f>SUM(H16:H20)</f>
        <v>0</v>
      </c>
      <c r="I15" s="47"/>
      <c r="J15" s="51">
        <f>SUM(J16:J20)</f>
        <v>0</v>
      </c>
      <c r="K15" s="48"/>
    </row>
    <row r="16" spans="3:25" ht="21.95" customHeight="1" x14ac:dyDescent="0.15">
      <c r="C16" s="25"/>
      <c r="D16" s="20"/>
      <c r="E16" s="20"/>
      <c r="F16" s="19"/>
      <c r="G16" s="19"/>
      <c r="H16" s="39"/>
      <c r="I16" s="39"/>
      <c r="J16" s="31"/>
      <c r="K16" s="42"/>
    </row>
    <row r="17" spans="3:25" ht="21.95" customHeight="1" x14ac:dyDescent="0.15">
      <c r="C17" s="24"/>
      <c r="D17" s="36" t="s">
        <v>341</v>
      </c>
      <c r="E17" s="36" t="s">
        <v>338</v>
      </c>
      <c r="F17" s="17"/>
      <c r="G17" s="36"/>
      <c r="H17" s="50">
        <f>'SOUPIS PRACÍ'!I26</f>
        <v>0</v>
      </c>
      <c r="I17" s="17"/>
      <c r="J17" s="31">
        <f>H17*1.21</f>
        <v>0</v>
      </c>
      <c r="K17" s="43"/>
      <c r="L17" s="32"/>
    </row>
    <row r="18" spans="3:25" ht="21.95" customHeight="1" x14ac:dyDescent="0.15">
      <c r="C18" s="24"/>
      <c r="D18" s="36" t="s">
        <v>340</v>
      </c>
      <c r="E18" s="36" t="s">
        <v>339</v>
      </c>
      <c r="F18" s="17"/>
      <c r="G18" s="36"/>
      <c r="H18" s="31">
        <f>'SOUPIS PRACÍ'!I40</f>
        <v>0</v>
      </c>
      <c r="I18" s="17"/>
      <c r="J18" s="31">
        <f t="shared" ref="J18:J20" si="0">H18*1.21</f>
        <v>0</v>
      </c>
      <c r="K18" s="43"/>
      <c r="L18" s="32"/>
    </row>
    <row r="19" spans="3:25" ht="21.95" customHeight="1" x14ac:dyDescent="0.15">
      <c r="C19" s="24"/>
      <c r="D19" s="36" t="s">
        <v>342</v>
      </c>
      <c r="E19" s="36" t="s">
        <v>344</v>
      </c>
      <c r="F19" s="17"/>
      <c r="G19" s="36"/>
      <c r="H19" s="31">
        <f>'SOUPIS PRACÍ'!I50</f>
        <v>0</v>
      </c>
      <c r="I19" s="17"/>
      <c r="J19" s="31">
        <f t="shared" si="0"/>
        <v>0</v>
      </c>
      <c r="K19" s="43"/>
      <c r="L19" s="32"/>
    </row>
    <row r="20" spans="3:25" ht="21.95" customHeight="1" x14ac:dyDescent="0.15">
      <c r="C20" s="24"/>
      <c r="D20" s="36" t="s">
        <v>343</v>
      </c>
      <c r="E20" s="36" t="s">
        <v>336</v>
      </c>
      <c r="F20" s="17"/>
      <c r="G20" s="36"/>
      <c r="H20" s="31">
        <f>'SOUPIS PRACÍ'!I250</f>
        <v>0</v>
      </c>
      <c r="I20" s="17"/>
      <c r="J20" s="31">
        <f t="shared" si="0"/>
        <v>0</v>
      </c>
      <c r="K20" s="43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3:25" ht="21.95" customHeight="1" x14ac:dyDescent="0.15">
      <c r="C21" s="24"/>
      <c r="D21" s="17"/>
      <c r="E21" s="17"/>
      <c r="F21" s="17"/>
      <c r="G21" s="17"/>
      <c r="H21" s="17"/>
      <c r="I21" s="17"/>
      <c r="J21" s="17"/>
      <c r="K21" s="43"/>
      <c r="L21" s="32"/>
    </row>
    <row r="22" spans="3:25" ht="19.5" customHeight="1" x14ac:dyDescent="0.2">
      <c r="C22" s="26"/>
      <c r="D22" s="27"/>
      <c r="E22" s="27"/>
      <c r="F22" s="34"/>
      <c r="G22" s="28"/>
      <c r="H22" s="34"/>
      <c r="I22" s="34"/>
      <c r="J22" s="34"/>
      <c r="K22" s="35"/>
      <c r="L22" s="32"/>
      <c r="M22" s="32"/>
    </row>
    <row r="23" spans="3:25" x14ac:dyDescent="0.2">
      <c r="F23" s="32"/>
      <c r="H23" s="32"/>
      <c r="I23" s="32"/>
      <c r="J23" s="32"/>
      <c r="K23" s="32"/>
      <c r="L23" s="32"/>
      <c r="M23" s="32"/>
    </row>
    <row r="24" spans="3:25" x14ac:dyDescent="0.2">
      <c r="F24" s="32"/>
      <c r="H24" s="32"/>
      <c r="I24" s="32"/>
      <c r="J24" s="32"/>
      <c r="K24" s="32"/>
      <c r="L24" s="32"/>
      <c r="M24" s="32"/>
    </row>
    <row r="25" spans="3:25" x14ac:dyDescent="0.2">
      <c r="H25" s="32"/>
      <c r="I25" s="32"/>
      <c r="L25" s="32"/>
      <c r="M25" s="32"/>
    </row>
    <row r="26" spans="3:25" x14ac:dyDescent="0.2">
      <c r="H26" s="32"/>
      <c r="I26" s="32"/>
      <c r="L26" s="32"/>
      <c r="M26" s="32"/>
    </row>
    <row r="27" spans="3:25" x14ac:dyDescent="0.2">
      <c r="H27" s="32"/>
      <c r="I27" s="32"/>
      <c r="L27" s="32"/>
      <c r="M27" s="32"/>
    </row>
    <row r="28" spans="3:25" x14ac:dyDescent="0.2">
      <c r="H28" s="32"/>
      <c r="I28" s="32"/>
      <c r="J28" s="32"/>
      <c r="M28" s="32"/>
      <c r="N28" s="32"/>
      <c r="O28" s="32"/>
      <c r="U28" s="32"/>
      <c r="V28" s="32"/>
      <c r="W28" s="32"/>
      <c r="X28" s="32"/>
      <c r="Y28" s="32"/>
    </row>
    <row r="29" spans="3:25" x14ac:dyDescent="0.2">
      <c r="H29" s="32"/>
      <c r="I29" s="32"/>
      <c r="J29" s="32"/>
      <c r="M29" s="32"/>
      <c r="N29" s="32"/>
      <c r="O29" s="32"/>
    </row>
    <row r="30" spans="3:25" x14ac:dyDescent="0.2">
      <c r="H30" s="32"/>
      <c r="I30" s="32"/>
      <c r="J30" s="32"/>
      <c r="M30" s="32"/>
      <c r="N30" s="32"/>
      <c r="O30" s="32"/>
      <c r="U30" s="32"/>
      <c r="V30" s="32"/>
      <c r="W30" s="32"/>
      <c r="X30" s="32"/>
      <c r="Y30" s="32"/>
    </row>
    <row r="32" spans="3:25" x14ac:dyDescent="0.2">
      <c r="U32" s="32"/>
      <c r="V32" s="32"/>
      <c r="W32" s="32"/>
      <c r="X32" s="32"/>
      <c r="Y32" s="32"/>
    </row>
    <row r="250" spans="3:7" x14ac:dyDescent="0.2">
      <c r="C250" s="33"/>
      <c r="D250" s="37"/>
      <c r="E250" s="37"/>
      <c r="F250" s="32"/>
      <c r="G250" s="32"/>
    </row>
  </sheetData>
  <pageMargins left="0.78" right="0.31496062992125984" top="0.76" bottom="0.52" header="0" footer="0"/>
  <pageSetup paperSize="9" scale="99" fitToHeight="100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1"/>
  <sheetViews>
    <sheetView showGridLines="0" tabSelected="1" defaultGridColor="0" view="pageBreakPreview" topLeftCell="A32" colorId="55" zoomScale="130" zoomScaleNormal="130" zoomScaleSheetLayoutView="130" workbookViewId="0">
      <selection activeCell="G45" sqref="G45"/>
    </sheetView>
  </sheetViews>
  <sheetFormatPr defaultColWidth="10.5" defaultRowHeight="12" x14ac:dyDescent="0.2"/>
  <cols>
    <col min="1" max="1" width="4.33203125" style="99" customWidth="1"/>
    <col min="2" max="2" width="6" style="89" customWidth="1"/>
    <col min="3" max="3" width="3.83203125" style="89" customWidth="1"/>
    <col min="4" max="4" width="11.83203125" style="78" customWidth="1"/>
    <col min="5" max="5" width="78.1640625" style="161" customWidth="1"/>
    <col min="6" max="6" width="5.5" style="80" customWidth="1"/>
    <col min="7" max="7" width="10" style="295" customWidth="1"/>
    <col min="8" max="8" width="11.83203125" style="91" customWidth="1"/>
    <col min="9" max="9" width="15.5" style="91" customWidth="1"/>
    <col min="10" max="10" width="35.83203125" style="92" customWidth="1"/>
    <col min="11" max="11" width="3.1640625" style="93" customWidth="1"/>
    <col min="12" max="12" width="2.33203125" style="94" customWidth="1"/>
    <col min="13" max="13" width="18.5" style="99" bestFit="1" customWidth="1"/>
    <col min="14" max="14" width="4.83203125" style="99" customWidth="1"/>
    <col min="15" max="15" width="3.6640625" style="99" bestFit="1" customWidth="1"/>
    <col min="16" max="16" width="3.83203125" style="99" customWidth="1"/>
    <col min="17" max="17" width="13.6640625" style="99" customWidth="1"/>
    <col min="18" max="18" width="6.5" style="99" customWidth="1"/>
    <col min="19" max="19" width="5.33203125" style="99" customWidth="1"/>
    <col min="20" max="20" width="4.1640625" style="99" customWidth="1"/>
    <col min="21" max="21" width="9.83203125" style="99" customWidth="1"/>
    <col min="22" max="22" width="7.1640625" style="99" customWidth="1"/>
    <col min="23" max="24" width="3.33203125" style="94" customWidth="1"/>
    <col min="25" max="25" width="4.6640625" style="99" customWidth="1"/>
    <col min="26" max="26" width="6" style="99" customWidth="1"/>
    <col min="27" max="27" width="4.83203125" style="99" customWidth="1"/>
    <col min="28" max="28" width="6.83203125" style="99" customWidth="1"/>
    <col min="29" max="16384" width="10.5" style="99"/>
  </cols>
  <sheetData>
    <row r="1" spans="2:26" s="78" customFormat="1" ht="36" x14ac:dyDescent="0.2">
      <c r="B1" s="77"/>
      <c r="C1" s="77"/>
      <c r="E1" s="79"/>
      <c r="F1" s="80"/>
      <c r="G1" s="81"/>
      <c r="H1" s="82"/>
      <c r="I1" s="83"/>
      <c r="J1" s="84"/>
      <c r="K1" s="85"/>
      <c r="M1" s="86" t="s">
        <v>46</v>
      </c>
      <c r="N1" s="87" t="s">
        <v>11</v>
      </c>
      <c r="O1" s="87" t="s">
        <v>12</v>
      </c>
      <c r="P1" s="87" t="s">
        <v>13</v>
      </c>
      <c r="Q1" s="86" t="s">
        <v>47</v>
      </c>
      <c r="R1" s="87" t="s">
        <v>11</v>
      </c>
      <c r="S1" s="87" t="s">
        <v>12</v>
      </c>
      <c r="T1" s="87" t="s">
        <v>13</v>
      </c>
      <c r="U1" s="86" t="s">
        <v>18</v>
      </c>
      <c r="V1" s="87" t="s">
        <v>11</v>
      </c>
      <c r="W1" s="87" t="s">
        <v>12</v>
      </c>
      <c r="X1" s="87" t="s">
        <v>13</v>
      </c>
      <c r="Y1" s="88"/>
      <c r="Z1" s="88"/>
    </row>
    <row r="2" spans="2:26" x14ac:dyDescent="0.2">
      <c r="E2" s="90"/>
      <c r="F2" s="322"/>
      <c r="G2" s="322"/>
      <c r="M2" s="95" t="s">
        <v>53</v>
      </c>
      <c r="N2" s="96">
        <v>14</v>
      </c>
      <c r="O2" s="96">
        <v>2</v>
      </c>
      <c r="P2" s="96">
        <v>0</v>
      </c>
      <c r="Q2" s="95" t="s">
        <v>215</v>
      </c>
      <c r="R2" s="96">
        <v>450</v>
      </c>
      <c r="S2" s="96">
        <v>160</v>
      </c>
      <c r="T2" s="96">
        <v>0</v>
      </c>
      <c r="U2" s="97" t="s">
        <v>17</v>
      </c>
      <c r="V2" s="96">
        <f>SUM(G190)</f>
        <v>16</v>
      </c>
      <c r="W2" s="96">
        <v>0</v>
      </c>
      <c r="X2" s="96">
        <v>0</v>
      </c>
      <c r="Y2" s="98"/>
      <c r="Z2" s="98"/>
    </row>
    <row r="3" spans="2:26" x14ac:dyDescent="0.2">
      <c r="E3" s="100"/>
      <c r="F3" s="323"/>
      <c r="G3" s="323"/>
      <c r="M3" s="95" t="s">
        <v>54</v>
      </c>
      <c r="N3" s="96">
        <v>0</v>
      </c>
      <c r="O3" s="96">
        <v>0</v>
      </c>
      <c r="P3" s="96">
        <v>0</v>
      </c>
      <c r="Q3" s="95" t="s">
        <v>24</v>
      </c>
      <c r="R3" s="96">
        <v>0</v>
      </c>
      <c r="S3" s="96">
        <v>0</v>
      </c>
      <c r="T3" s="96">
        <v>0</v>
      </c>
      <c r="U3" s="95" t="s">
        <v>20</v>
      </c>
      <c r="V3" s="96">
        <v>34</v>
      </c>
      <c r="W3" s="96">
        <v>0</v>
      </c>
      <c r="X3" s="96">
        <v>0</v>
      </c>
      <c r="Y3" s="98"/>
      <c r="Z3" s="98"/>
    </row>
    <row r="4" spans="2:26" x14ac:dyDescent="0.2">
      <c r="B4" s="101"/>
      <c r="C4" s="101"/>
      <c r="D4" s="101"/>
      <c r="E4" s="102"/>
      <c r="F4" s="103"/>
      <c r="G4" s="104"/>
      <c r="H4" s="105"/>
      <c r="I4" s="105"/>
      <c r="J4" s="106"/>
      <c r="K4" s="107"/>
      <c r="L4" s="3"/>
      <c r="M4" s="95" t="s">
        <v>55</v>
      </c>
      <c r="N4" s="96">
        <v>1</v>
      </c>
      <c r="O4" s="96">
        <v>1</v>
      </c>
      <c r="P4" s="96">
        <v>0</v>
      </c>
      <c r="Q4" s="95" t="s">
        <v>26</v>
      </c>
      <c r="R4" s="96">
        <f>SUM(G165,G153,G148)-S4</f>
        <v>588</v>
      </c>
      <c r="S4" s="96">
        <v>240</v>
      </c>
      <c r="T4" s="96">
        <v>0</v>
      </c>
      <c r="U4" s="95" t="s">
        <v>21</v>
      </c>
      <c r="V4" s="96">
        <f>SUM(G207)</f>
        <v>304</v>
      </c>
      <c r="W4" s="96">
        <v>0</v>
      </c>
      <c r="X4" s="96">
        <v>0</v>
      </c>
      <c r="Y4" s="98"/>
      <c r="Z4" s="98"/>
    </row>
    <row r="5" spans="2:26" ht="24" x14ac:dyDescent="0.2">
      <c r="B5" s="101"/>
      <c r="C5" s="3"/>
      <c r="D5" s="3"/>
      <c r="E5" s="5"/>
      <c r="F5" s="7"/>
      <c r="G5" s="4"/>
      <c r="H5" s="4"/>
      <c r="I5" s="3"/>
      <c r="J5" s="5"/>
      <c r="K5" s="107"/>
      <c r="L5" s="3"/>
      <c r="M5" s="108" t="s">
        <v>56</v>
      </c>
      <c r="N5" s="96">
        <v>0</v>
      </c>
      <c r="O5" s="96">
        <v>0</v>
      </c>
      <c r="P5" s="96">
        <v>0</v>
      </c>
      <c r="Q5" s="95"/>
      <c r="R5" s="96"/>
      <c r="S5" s="96"/>
      <c r="T5" s="96"/>
      <c r="U5" s="109" t="s">
        <v>86</v>
      </c>
      <c r="V5" s="96">
        <v>1090</v>
      </c>
      <c r="W5" s="96">
        <v>0</v>
      </c>
      <c r="X5" s="96">
        <v>0</v>
      </c>
      <c r="Y5" s="98"/>
      <c r="Z5" s="98"/>
    </row>
    <row r="6" spans="2:26" x14ac:dyDescent="0.2">
      <c r="B6" s="321"/>
      <c r="C6" s="321"/>
      <c r="D6" s="321"/>
      <c r="E6" s="321"/>
      <c r="F6" s="321"/>
      <c r="G6" s="321"/>
      <c r="H6" s="321"/>
      <c r="I6" s="321"/>
      <c r="J6" s="110"/>
      <c r="K6" s="107"/>
      <c r="L6" s="3"/>
      <c r="M6" s="111" t="s">
        <v>25</v>
      </c>
      <c r="N6" s="96">
        <v>3</v>
      </c>
      <c r="O6" s="96">
        <v>0</v>
      </c>
      <c r="P6" s="96">
        <v>0</v>
      </c>
      <c r="Q6" s="95"/>
      <c r="R6" s="96"/>
      <c r="S6" s="96"/>
      <c r="T6" s="96"/>
      <c r="U6" s="95"/>
      <c r="V6" s="96"/>
      <c r="W6" s="96"/>
      <c r="X6" s="96"/>
      <c r="Y6" s="98"/>
      <c r="Z6" s="98"/>
    </row>
    <row r="7" spans="2:26" x14ac:dyDescent="0.2">
      <c r="B7" s="112"/>
      <c r="C7" s="112"/>
      <c r="D7" s="112"/>
      <c r="E7" s="5"/>
      <c r="F7" s="113"/>
      <c r="G7" s="114"/>
      <c r="H7" s="115"/>
      <c r="I7" s="115"/>
      <c r="J7" s="115"/>
      <c r="K7" s="107"/>
      <c r="L7" s="3"/>
      <c r="M7" s="108"/>
      <c r="N7" s="96"/>
      <c r="O7" s="96"/>
      <c r="P7" s="96"/>
      <c r="Q7" s="108"/>
      <c r="R7" s="96"/>
      <c r="S7" s="96"/>
      <c r="T7" s="96"/>
      <c r="U7" s="95"/>
      <c r="V7" s="96"/>
      <c r="W7" s="96"/>
      <c r="X7" s="96"/>
      <c r="Y7" s="98"/>
      <c r="Z7" s="98"/>
    </row>
    <row r="8" spans="2:26" x14ac:dyDescent="0.2">
      <c r="B8" s="116" t="s">
        <v>314</v>
      </c>
      <c r="C8" s="1"/>
      <c r="D8" s="1"/>
      <c r="E8" s="6"/>
      <c r="F8" s="8"/>
      <c r="G8" s="2"/>
      <c r="H8" s="2"/>
      <c r="I8" s="1"/>
      <c r="J8" s="8" t="s">
        <v>69</v>
      </c>
      <c r="K8" s="107"/>
      <c r="L8" s="3"/>
      <c r="M8" s="97"/>
      <c r="N8" s="117"/>
      <c r="O8" s="117"/>
      <c r="P8" s="117"/>
      <c r="Q8" s="111"/>
      <c r="R8" s="96"/>
      <c r="S8" s="96"/>
      <c r="T8" s="96"/>
      <c r="U8" s="95"/>
      <c r="V8" s="96"/>
      <c r="W8" s="96"/>
      <c r="X8" s="96"/>
      <c r="Y8" s="98"/>
      <c r="Z8" s="98"/>
    </row>
    <row r="9" spans="2:26" x14ac:dyDescent="0.2">
      <c r="B9" s="321"/>
      <c r="C9" s="321"/>
      <c r="D9" s="321"/>
      <c r="E9" s="321"/>
      <c r="F9" s="321"/>
      <c r="G9" s="321"/>
      <c r="H9" s="321"/>
      <c r="I9" s="321"/>
      <c r="J9" s="110"/>
      <c r="K9" s="107"/>
      <c r="L9" s="3"/>
      <c r="M9" s="97"/>
      <c r="N9" s="117"/>
      <c r="O9" s="117"/>
      <c r="P9" s="117"/>
      <c r="Q9" s="108"/>
      <c r="R9" s="96"/>
      <c r="S9" s="96"/>
      <c r="T9" s="96"/>
      <c r="U9" s="108"/>
      <c r="V9" s="96"/>
      <c r="W9" s="96"/>
      <c r="X9" s="96"/>
      <c r="Y9" s="98"/>
      <c r="Z9" s="98"/>
    </row>
    <row r="10" spans="2:26" x14ac:dyDescent="0.2">
      <c r="B10" s="118" t="s">
        <v>68</v>
      </c>
      <c r="C10" s="118" t="s">
        <v>64</v>
      </c>
      <c r="D10" s="118" t="s">
        <v>66</v>
      </c>
      <c r="E10" s="119" t="s">
        <v>63</v>
      </c>
      <c r="F10" s="118" t="s">
        <v>62</v>
      </c>
      <c r="G10" s="120" t="s">
        <v>60</v>
      </c>
      <c r="H10" s="121" t="s">
        <v>61</v>
      </c>
      <c r="I10" s="121" t="s">
        <v>65</v>
      </c>
      <c r="J10" s="121" t="s">
        <v>67</v>
      </c>
      <c r="K10" s="107"/>
      <c r="L10" s="3"/>
      <c r="M10" s="95"/>
      <c r="N10" s="96"/>
      <c r="O10" s="96"/>
      <c r="P10" s="96"/>
      <c r="Q10" s="108"/>
      <c r="R10" s="96"/>
      <c r="S10" s="96"/>
      <c r="T10" s="96"/>
      <c r="U10" s="95"/>
      <c r="V10" s="96"/>
      <c r="W10" s="96"/>
      <c r="X10" s="96"/>
      <c r="Y10" s="98"/>
      <c r="Z10" s="98"/>
    </row>
    <row r="11" spans="2:26" x14ac:dyDescent="0.2">
      <c r="B11" s="112"/>
      <c r="C11" s="112"/>
      <c r="D11" s="112"/>
      <c r="E11" s="5"/>
      <c r="F11" s="113"/>
      <c r="G11" s="114"/>
      <c r="H11" s="115"/>
      <c r="I11" s="115"/>
      <c r="J11" s="115"/>
      <c r="K11" s="122"/>
      <c r="L11" s="112"/>
      <c r="M11" s="98"/>
      <c r="N11" s="98"/>
      <c r="O11" s="98"/>
      <c r="P11" s="98"/>
      <c r="U11" s="98"/>
      <c r="V11" s="98"/>
      <c r="W11" s="123"/>
      <c r="X11" s="123"/>
      <c r="Y11" s="98"/>
      <c r="Z11" s="98"/>
    </row>
    <row r="12" spans="2:26" x14ac:dyDescent="0.2">
      <c r="B12" s="124" t="s">
        <v>199</v>
      </c>
      <c r="C12" s="125"/>
      <c r="D12" s="79"/>
      <c r="E12" s="79"/>
      <c r="F12" s="126"/>
      <c r="G12" s="127"/>
      <c r="H12" s="128"/>
      <c r="I12" s="128"/>
      <c r="J12" s="129"/>
      <c r="K12" s="130"/>
      <c r="L12" s="131"/>
      <c r="M12" s="132"/>
      <c r="N12" s="98"/>
      <c r="O12" s="98"/>
      <c r="P12" s="98"/>
      <c r="W12" s="131"/>
      <c r="X12" s="131"/>
    </row>
    <row r="13" spans="2:26" ht="24" x14ac:dyDescent="0.2">
      <c r="B13" s="133">
        <v>1</v>
      </c>
      <c r="C13" s="133" t="s">
        <v>1</v>
      </c>
      <c r="D13" s="134">
        <v>122251104</v>
      </c>
      <c r="E13" s="134" t="s">
        <v>116</v>
      </c>
      <c r="F13" s="135" t="s">
        <v>351</v>
      </c>
      <c r="G13" s="136">
        <f>(190*0.25)+(107*0.3)+(24.5*0.25)+(4.5*0.3)</f>
        <v>87.074999999999989</v>
      </c>
      <c r="H13" s="137"/>
      <c r="I13" s="136"/>
      <c r="J13" s="138" t="s">
        <v>298</v>
      </c>
      <c r="K13" s="139"/>
      <c r="L13" s="131"/>
      <c r="N13" s="142"/>
      <c r="O13" s="141"/>
      <c r="P13" s="141"/>
      <c r="Q13" s="141"/>
      <c r="R13" s="141"/>
      <c r="S13" s="141"/>
      <c r="T13" s="141"/>
      <c r="W13" s="143"/>
      <c r="X13" s="143"/>
    </row>
    <row r="14" spans="2:26" ht="24" x14ac:dyDescent="0.2">
      <c r="B14" s="133">
        <v>2</v>
      </c>
      <c r="C14" s="133" t="s">
        <v>1</v>
      </c>
      <c r="D14" s="134">
        <v>181951112</v>
      </c>
      <c r="E14" s="134" t="s">
        <v>115</v>
      </c>
      <c r="F14" s="135" t="s">
        <v>352</v>
      </c>
      <c r="G14" s="136">
        <f>190+107+24.5+4.5</f>
        <v>326</v>
      </c>
      <c r="H14" s="136"/>
      <c r="I14" s="136"/>
      <c r="J14" s="138" t="s">
        <v>240</v>
      </c>
      <c r="K14" s="139"/>
      <c r="L14" s="131"/>
      <c r="N14" s="142"/>
      <c r="O14" s="141"/>
      <c r="P14" s="141"/>
      <c r="Q14" s="141"/>
      <c r="R14" s="141"/>
      <c r="S14" s="141"/>
      <c r="T14" s="141"/>
      <c r="W14" s="143"/>
      <c r="X14" s="143"/>
    </row>
    <row r="15" spans="2:26" ht="14.25" x14ac:dyDescent="0.2">
      <c r="B15" s="133">
        <v>3</v>
      </c>
      <c r="C15" s="133" t="s">
        <v>1</v>
      </c>
      <c r="D15" s="134">
        <v>564730111</v>
      </c>
      <c r="E15" s="134" t="s">
        <v>119</v>
      </c>
      <c r="F15" s="135" t="s">
        <v>353</v>
      </c>
      <c r="G15" s="136">
        <v>190</v>
      </c>
      <c r="H15" s="136"/>
      <c r="I15" s="138"/>
      <c r="J15" s="138" t="s">
        <v>112</v>
      </c>
      <c r="K15" s="139"/>
      <c r="L15" s="131"/>
      <c r="N15" s="142"/>
      <c r="O15" s="141"/>
      <c r="P15" s="141"/>
      <c r="Q15" s="141"/>
      <c r="R15" s="141"/>
      <c r="S15" s="141"/>
      <c r="T15" s="141"/>
      <c r="W15" s="143"/>
      <c r="X15" s="143"/>
    </row>
    <row r="16" spans="2:26" ht="14.25" x14ac:dyDescent="0.2">
      <c r="B16" s="133">
        <v>4</v>
      </c>
      <c r="C16" s="133" t="s">
        <v>1</v>
      </c>
      <c r="D16" s="134">
        <v>564952111</v>
      </c>
      <c r="E16" s="134" t="s">
        <v>111</v>
      </c>
      <c r="F16" s="135" t="s">
        <v>354</v>
      </c>
      <c r="G16" s="136">
        <f>SUM(G15)</f>
        <v>190</v>
      </c>
      <c r="H16" s="136"/>
      <c r="I16" s="136"/>
      <c r="J16" s="138" t="s">
        <v>239</v>
      </c>
      <c r="K16" s="138"/>
      <c r="L16" s="131"/>
      <c r="N16" s="142"/>
      <c r="O16" s="141"/>
      <c r="P16" s="141"/>
      <c r="Q16" s="141"/>
      <c r="R16" s="141"/>
      <c r="S16" s="141"/>
      <c r="T16" s="141"/>
      <c r="W16" s="143"/>
      <c r="X16" s="143"/>
    </row>
    <row r="17" spans="2:25" ht="14.25" x14ac:dyDescent="0.2">
      <c r="B17" s="133">
        <v>5</v>
      </c>
      <c r="C17" s="133" t="s">
        <v>1</v>
      </c>
      <c r="D17" s="134">
        <v>571902111</v>
      </c>
      <c r="E17" s="134" t="s">
        <v>113</v>
      </c>
      <c r="F17" s="135" t="s">
        <v>354</v>
      </c>
      <c r="G17" s="136">
        <f>SUM(G15)</f>
        <v>190</v>
      </c>
      <c r="H17" s="137"/>
      <c r="I17" s="136"/>
      <c r="J17" s="138" t="s">
        <v>114</v>
      </c>
      <c r="K17" s="138"/>
      <c r="L17" s="131"/>
      <c r="N17" s="142"/>
      <c r="O17" s="141"/>
      <c r="P17" s="141"/>
      <c r="Q17" s="141"/>
      <c r="R17" s="141"/>
      <c r="S17" s="141"/>
      <c r="T17" s="141"/>
      <c r="W17" s="143"/>
      <c r="X17" s="143"/>
    </row>
    <row r="18" spans="2:25" s="150" customFormat="1" ht="14.25" x14ac:dyDescent="0.2">
      <c r="B18" s="133">
        <v>6</v>
      </c>
      <c r="C18" s="133" t="s">
        <v>1</v>
      </c>
      <c r="D18" s="134">
        <v>564751111</v>
      </c>
      <c r="E18" s="144" t="s">
        <v>118</v>
      </c>
      <c r="F18" s="144" t="s">
        <v>352</v>
      </c>
      <c r="G18" s="145">
        <f>107+4.5</f>
        <v>111.5</v>
      </c>
      <c r="H18" s="146"/>
      <c r="I18" s="145"/>
      <c r="J18" s="138" t="s">
        <v>275</v>
      </c>
      <c r="K18" s="147"/>
      <c r="L18" s="148"/>
      <c r="N18" s="147"/>
      <c r="O18" s="149"/>
      <c r="P18" s="149"/>
      <c r="Q18" s="149"/>
      <c r="R18" s="149"/>
      <c r="S18" s="149"/>
      <c r="T18" s="149"/>
      <c r="W18" s="151"/>
      <c r="X18" s="151"/>
    </row>
    <row r="19" spans="2:25" ht="36.75" x14ac:dyDescent="0.25">
      <c r="B19" s="133">
        <v>7</v>
      </c>
      <c r="C19" s="133" t="s">
        <v>1</v>
      </c>
      <c r="D19" s="134">
        <v>465511221</v>
      </c>
      <c r="E19" s="134" t="s">
        <v>277</v>
      </c>
      <c r="F19" s="152" t="s">
        <v>354</v>
      </c>
      <c r="G19" s="136">
        <v>107</v>
      </c>
      <c r="H19" s="136"/>
      <c r="I19" s="136"/>
      <c r="J19" s="138" t="s">
        <v>278</v>
      </c>
      <c r="K19" s="139"/>
      <c r="L19" s="131"/>
      <c r="N19" s="142"/>
      <c r="O19" s="141"/>
      <c r="P19" s="141"/>
      <c r="Q19" s="141"/>
      <c r="R19" s="141"/>
      <c r="S19" s="141"/>
      <c r="T19" s="141"/>
      <c r="W19" s="143"/>
      <c r="X19" s="143"/>
    </row>
    <row r="20" spans="2:25" ht="36.75" x14ac:dyDescent="0.25">
      <c r="B20" s="133">
        <v>8</v>
      </c>
      <c r="C20" s="133" t="s">
        <v>1</v>
      </c>
      <c r="D20" s="134">
        <v>465511512</v>
      </c>
      <c r="E20" s="134" t="s">
        <v>276</v>
      </c>
      <c r="F20" s="152" t="s">
        <v>354</v>
      </c>
      <c r="G20" s="136">
        <v>4.5</v>
      </c>
      <c r="H20" s="136"/>
      <c r="I20" s="136"/>
      <c r="J20" s="138" t="s">
        <v>279</v>
      </c>
      <c r="K20" s="139"/>
      <c r="L20" s="131"/>
      <c r="N20" s="142"/>
      <c r="O20" s="141"/>
      <c r="P20" s="141"/>
      <c r="Q20" s="141"/>
      <c r="R20" s="141"/>
      <c r="S20" s="141"/>
      <c r="T20" s="141"/>
      <c r="W20" s="143"/>
      <c r="X20" s="143"/>
    </row>
    <row r="21" spans="2:25" ht="14.25" x14ac:dyDescent="0.2">
      <c r="B21" s="133">
        <v>9</v>
      </c>
      <c r="C21" s="133" t="s">
        <v>1</v>
      </c>
      <c r="D21" s="134">
        <v>564770001</v>
      </c>
      <c r="E21" s="134" t="s">
        <v>120</v>
      </c>
      <c r="F21" s="135" t="s">
        <v>353</v>
      </c>
      <c r="G21" s="136">
        <v>24.5</v>
      </c>
      <c r="H21" s="136"/>
      <c r="I21" s="138"/>
      <c r="J21" s="138" t="s">
        <v>241</v>
      </c>
      <c r="K21" s="138"/>
      <c r="L21" s="131"/>
      <c r="N21" s="142"/>
      <c r="O21" s="141"/>
      <c r="P21" s="141"/>
      <c r="Q21" s="141"/>
      <c r="R21" s="141"/>
      <c r="S21" s="141"/>
      <c r="T21" s="141"/>
      <c r="W21" s="143"/>
      <c r="X21" s="143"/>
    </row>
    <row r="22" spans="2:25" ht="24" x14ac:dyDescent="0.2">
      <c r="B22" s="133">
        <v>10</v>
      </c>
      <c r="C22" s="133" t="s">
        <v>1</v>
      </c>
      <c r="D22" s="134">
        <v>916371211</v>
      </c>
      <c r="E22" s="134" t="s">
        <v>242</v>
      </c>
      <c r="F22" s="135" t="s">
        <v>2</v>
      </c>
      <c r="G22" s="136">
        <v>29</v>
      </c>
      <c r="H22" s="136"/>
      <c r="I22" s="136"/>
      <c r="J22" s="138" t="s">
        <v>243</v>
      </c>
      <c r="K22" s="139"/>
      <c r="L22" s="131"/>
      <c r="N22" s="142"/>
      <c r="O22" s="141"/>
      <c r="P22" s="141"/>
      <c r="Q22" s="141"/>
      <c r="R22" s="141"/>
      <c r="S22" s="141"/>
      <c r="T22" s="141"/>
      <c r="W22" s="143"/>
      <c r="X22" s="143"/>
    </row>
    <row r="23" spans="2:25" x14ac:dyDescent="0.2">
      <c r="B23" s="133">
        <v>11</v>
      </c>
      <c r="C23" s="153"/>
      <c r="D23" s="153" t="s">
        <v>9</v>
      </c>
      <c r="E23" s="154" t="s">
        <v>244</v>
      </c>
      <c r="F23" s="155" t="s">
        <v>2</v>
      </c>
      <c r="G23" s="156">
        <f>SUM(G22)</f>
        <v>29</v>
      </c>
      <c r="H23" s="157"/>
      <c r="I23" s="158"/>
      <c r="J23" s="159" t="s">
        <v>214</v>
      </c>
      <c r="K23" s="139"/>
      <c r="L23" s="131"/>
      <c r="N23" s="142"/>
      <c r="O23" s="141"/>
      <c r="P23" s="141"/>
      <c r="Q23" s="141"/>
      <c r="R23" s="141"/>
      <c r="S23" s="141"/>
      <c r="T23" s="141"/>
      <c r="W23" s="143"/>
      <c r="X23" s="143"/>
    </row>
    <row r="24" spans="2:25" x14ac:dyDescent="0.2">
      <c r="B24" s="133">
        <v>12</v>
      </c>
      <c r="C24" s="133" t="s">
        <v>1</v>
      </c>
      <c r="D24" s="134"/>
      <c r="E24" s="134" t="s">
        <v>300</v>
      </c>
      <c r="F24" s="135" t="s">
        <v>312</v>
      </c>
      <c r="G24" s="136">
        <v>1</v>
      </c>
      <c r="H24" s="136"/>
      <c r="I24" s="136"/>
      <c r="J24" s="138" t="s">
        <v>301</v>
      </c>
      <c r="K24" s="139"/>
      <c r="L24" s="131"/>
      <c r="N24" s="142"/>
      <c r="O24" s="141"/>
      <c r="P24" s="141"/>
      <c r="Q24" s="141"/>
      <c r="R24" s="141"/>
      <c r="S24" s="141"/>
      <c r="T24" s="141"/>
      <c r="W24" s="143"/>
      <c r="X24" s="143"/>
    </row>
    <row r="25" spans="2:25" x14ac:dyDescent="0.2">
      <c r="B25" s="160"/>
      <c r="C25" s="160"/>
      <c r="D25" s="161"/>
      <c r="F25" s="162"/>
      <c r="G25" s="163"/>
      <c r="H25" s="164"/>
      <c r="I25" s="164"/>
      <c r="J25" s="165"/>
      <c r="K25" s="163"/>
      <c r="L25" s="131"/>
      <c r="Q25" s="88"/>
      <c r="R25" s="88"/>
      <c r="W25" s="99"/>
      <c r="X25" s="99"/>
      <c r="Y25" s="140"/>
    </row>
    <row r="26" spans="2:25" s="88" customFormat="1" x14ac:dyDescent="0.2">
      <c r="B26" s="166"/>
      <c r="C26" s="166"/>
      <c r="E26" s="79"/>
      <c r="F26" s="167"/>
      <c r="H26" s="168" t="s">
        <v>199</v>
      </c>
      <c r="I26" s="169">
        <f>SUM(I13:I25)</f>
        <v>0</v>
      </c>
      <c r="J26" s="170" t="s">
        <v>75</v>
      </c>
      <c r="K26" s="171"/>
      <c r="L26" s="172"/>
      <c r="O26" s="98"/>
      <c r="P26" s="98"/>
      <c r="Q26" s="98"/>
      <c r="R26" s="98"/>
      <c r="S26" s="98"/>
      <c r="T26" s="98"/>
      <c r="W26" s="173"/>
      <c r="X26" s="173"/>
    </row>
    <row r="27" spans="2:25" x14ac:dyDescent="0.2">
      <c r="B27" s="174"/>
      <c r="C27" s="160"/>
      <c r="D27" s="161"/>
      <c r="F27" s="162"/>
      <c r="G27" s="164"/>
      <c r="H27" s="164"/>
      <c r="I27" s="164"/>
      <c r="J27" s="175"/>
      <c r="K27" s="139"/>
      <c r="L27" s="131"/>
      <c r="M27" s="140"/>
      <c r="N27" s="140"/>
      <c r="U27" s="140"/>
      <c r="V27" s="140"/>
      <c r="W27" s="3"/>
      <c r="X27" s="3"/>
    </row>
    <row r="28" spans="2:25" x14ac:dyDescent="0.2">
      <c r="B28" s="124" t="s">
        <v>196</v>
      </c>
      <c r="C28" s="125"/>
      <c r="D28" s="79"/>
      <c r="E28" s="79"/>
      <c r="F28" s="126"/>
      <c r="G28" s="127"/>
      <c r="H28" s="128"/>
      <c r="I28" s="128"/>
      <c r="J28" s="129"/>
      <c r="K28" s="130"/>
      <c r="L28" s="131"/>
      <c r="M28" s="132"/>
      <c r="N28" s="98"/>
      <c r="O28" s="98"/>
      <c r="P28" s="98"/>
      <c r="W28" s="131"/>
      <c r="X28" s="131"/>
    </row>
    <row r="29" spans="2:25" ht="24" x14ac:dyDescent="0.2">
      <c r="B29" s="133">
        <v>1</v>
      </c>
      <c r="C29" s="133" t="s">
        <v>1</v>
      </c>
      <c r="D29" s="134">
        <v>111151211</v>
      </c>
      <c r="E29" s="134" t="s">
        <v>197</v>
      </c>
      <c r="F29" s="135" t="s">
        <v>354</v>
      </c>
      <c r="G29" s="138">
        <v>2050</v>
      </c>
      <c r="H29" s="136"/>
      <c r="I29" s="136"/>
      <c r="J29" s="138" t="s">
        <v>233</v>
      </c>
      <c r="K29" s="176"/>
      <c r="L29" s="139"/>
      <c r="W29" s="99"/>
      <c r="X29" s="131"/>
      <c r="Y29" s="131"/>
    </row>
    <row r="30" spans="2:25" ht="24" x14ac:dyDescent="0.2">
      <c r="B30" s="133">
        <v>2</v>
      </c>
      <c r="C30" s="133" t="s">
        <v>1</v>
      </c>
      <c r="D30" s="134">
        <v>469973127</v>
      </c>
      <c r="E30" s="134" t="s">
        <v>234</v>
      </c>
      <c r="F30" s="135" t="s">
        <v>6</v>
      </c>
      <c r="G30" s="177">
        <f>1*0.5</f>
        <v>0.5</v>
      </c>
      <c r="H30" s="136"/>
      <c r="I30" s="136"/>
      <c r="J30" s="138" t="s">
        <v>274</v>
      </c>
      <c r="K30" s="163"/>
      <c r="L30" s="131"/>
      <c r="W30" s="99"/>
      <c r="X30" s="99"/>
      <c r="Y30" s="140"/>
    </row>
    <row r="31" spans="2:25" ht="24" x14ac:dyDescent="0.2">
      <c r="B31" s="133">
        <v>3</v>
      </c>
      <c r="C31" s="133" t="s">
        <v>1</v>
      </c>
      <c r="D31" s="134">
        <v>184813511</v>
      </c>
      <c r="E31" s="134" t="s">
        <v>355</v>
      </c>
      <c r="F31" s="178" t="s">
        <v>354</v>
      </c>
      <c r="G31" s="179">
        <f>2050</f>
        <v>2050</v>
      </c>
      <c r="H31" s="136"/>
      <c r="I31" s="136"/>
      <c r="J31" s="138" t="s">
        <v>84</v>
      </c>
      <c r="K31" s="139"/>
      <c r="L31" s="131"/>
      <c r="N31" s="142"/>
      <c r="O31" s="141"/>
      <c r="P31" s="141"/>
      <c r="Q31" s="141"/>
      <c r="R31" s="141"/>
      <c r="S31" s="141"/>
      <c r="T31" s="141"/>
      <c r="W31" s="143"/>
      <c r="X31" s="143"/>
    </row>
    <row r="32" spans="2:25" s="185" customFormat="1" x14ac:dyDescent="0.2">
      <c r="B32" s="133">
        <v>4</v>
      </c>
      <c r="C32" s="180" t="s">
        <v>0</v>
      </c>
      <c r="D32" s="153">
        <v>25234001</v>
      </c>
      <c r="E32" s="154" t="s">
        <v>48</v>
      </c>
      <c r="F32" s="155" t="s">
        <v>4</v>
      </c>
      <c r="G32" s="181">
        <f>2050*0.0005*2</f>
        <v>2.0499999999999998</v>
      </c>
      <c r="H32" s="158"/>
      <c r="I32" s="158"/>
      <c r="J32" s="159" t="s">
        <v>90</v>
      </c>
      <c r="K32" s="182"/>
      <c r="L32" s="183"/>
      <c r="W32" s="186"/>
      <c r="X32" s="186"/>
    </row>
    <row r="33" spans="2:25" s="185" customFormat="1" x14ac:dyDescent="0.2">
      <c r="B33" s="133">
        <v>5</v>
      </c>
      <c r="C33" s="180" t="s">
        <v>0</v>
      </c>
      <c r="D33" s="187" t="s">
        <v>9</v>
      </c>
      <c r="E33" s="154" t="s">
        <v>52</v>
      </c>
      <c r="F33" s="155" t="s">
        <v>3</v>
      </c>
      <c r="G33" s="181">
        <f>2050*0.00002*2</f>
        <v>8.2000000000000003E-2</v>
      </c>
      <c r="H33" s="158"/>
      <c r="I33" s="158"/>
      <c r="J33" s="159" t="s">
        <v>85</v>
      </c>
      <c r="K33" s="188"/>
      <c r="L33" s="183"/>
      <c r="N33" s="189"/>
      <c r="W33" s="183"/>
      <c r="X33" s="183"/>
    </row>
    <row r="34" spans="2:25" ht="14.25" x14ac:dyDescent="0.2">
      <c r="B34" s="133">
        <v>6</v>
      </c>
      <c r="C34" s="133" t="s">
        <v>1</v>
      </c>
      <c r="D34" s="134">
        <v>183403114</v>
      </c>
      <c r="E34" s="134" t="s">
        <v>356</v>
      </c>
      <c r="F34" s="135" t="s">
        <v>354</v>
      </c>
      <c r="G34" s="179">
        <v>2050</v>
      </c>
      <c r="H34" s="136"/>
      <c r="I34" s="136"/>
      <c r="J34" s="138" t="s">
        <v>232</v>
      </c>
      <c r="K34" s="190"/>
      <c r="L34" s="131"/>
      <c r="O34" s="191"/>
      <c r="P34" s="191"/>
      <c r="S34" s="191"/>
      <c r="T34" s="191"/>
      <c r="W34" s="192"/>
      <c r="X34" s="192"/>
    </row>
    <row r="35" spans="2:25" s="161" customFormat="1" ht="36" x14ac:dyDescent="0.2">
      <c r="B35" s="133">
        <v>7</v>
      </c>
      <c r="C35" s="193" t="s">
        <v>1</v>
      </c>
      <c r="D35" s="134">
        <v>121151123</v>
      </c>
      <c r="E35" s="134" t="s">
        <v>272</v>
      </c>
      <c r="F35" s="135" t="s">
        <v>354</v>
      </c>
      <c r="G35" s="138">
        <v>2050</v>
      </c>
      <c r="H35" s="194"/>
      <c r="I35" s="136"/>
      <c r="J35" s="138" t="s">
        <v>273</v>
      </c>
      <c r="K35" s="195"/>
      <c r="L35" s="196"/>
      <c r="M35" s="150"/>
      <c r="W35" s="196"/>
      <c r="X35" s="196"/>
    </row>
    <row r="36" spans="2:25" s="197" customFormat="1" ht="24.75" x14ac:dyDescent="0.25">
      <c r="B36" s="133">
        <v>8</v>
      </c>
      <c r="C36" s="133" t="s">
        <v>1</v>
      </c>
      <c r="D36" s="134"/>
      <c r="E36" s="134" t="s">
        <v>235</v>
      </c>
      <c r="F36" s="152" t="s">
        <v>354</v>
      </c>
      <c r="G36" s="136">
        <v>1500</v>
      </c>
      <c r="H36" s="137"/>
      <c r="I36" s="136"/>
      <c r="J36" s="138" t="s">
        <v>130</v>
      </c>
      <c r="K36" s="130"/>
      <c r="L36" s="131"/>
      <c r="M36" s="198"/>
      <c r="W36" s="131"/>
      <c r="X36" s="131"/>
    </row>
    <row r="37" spans="2:25" s="197" customFormat="1" ht="36.75" x14ac:dyDescent="0.25">
      <c r="B37" s="133">
        <v>9</v>
      </c>
      <c r="C37" s="133" t="s">
        <v>1</v>
      </c>
      <c r="D37" s="134"/>
      <c r="E37" s="134" t="s">
        <v>236</v>
      </c>
      <c r="F37" s="152" t="s">
        <v>354</v>
      </c>
      <c r="G37" s="136">
        <v>550</v>
      </c>
      <c r="H37" s="137"/>
      <c r="I37" s="136"/>
      <c r="J37" s="138" t="s">
        <v>237</v>
      </c>
      <c r="K37" s="130"/>
      <c r="L37" s="131"/>
      <c r="M37" s="198"/>
      <c r="W37" s="131"/>
      <c r="X37" s="131"/>
    </row>
    <row r="38" spans="2:25" s="197" customFormat="1" ht="24.75" x14ac:dyDescent="0.25">
      <c r="B38" s="133">
        <v>10</v>
      </c>
      <c r="C38" s="199" t="s">
        <v>1</v>
      </c>
      <c r="D38" s="200">
        <v>181351113</v>
      </c>
      <c r="E38" s="200" t="s">
        <v>117</v>
      </c>
      <c r="F38" s="152" t="s">
        <v>354</v>
      </c>
      <c r="G38" s="201">
        <v>1734</v>
      </c>
      <c r="H38" s="137"/>
      <c r="I38" s="137"/>
      <c r="J38" s="138" t="s">
        <v>198</v>
      </c>
      <c r="K38" s="130"/>
      <c r="L38" s="131"/>
      <c r="M38" s="198"/>
      <c r="W38" s="131"/>
      <c r="X38" s="131"/>
    </row>
    <row r="39" spans="2:25" x14ac:dyDescent="0.2">
      <c r="B39" s="160"/>
      <c r="C39" s="160"/>
      <c r="D39" s="161"/>
      <c r="F39" s="162"/>
      <c r="G39" s="163"/>
      <c r="H39" s="164"/>
      <c r="I39" s="164"/>
      <c r="J39" s="165"/>
      <c r="K39" s="163"/>
      <c r="L39" s="131"/>
      <c r="Q39" s="88"/>
      <c r="R39" s="88"/>
      <c r="W39" s="99"/>
      <c r="X39" s="99"/>
      <c r="Y39" s="140"/>
    </row>
    <row r="40" spans="2:25" s="88" customFormat="1" x14ac:dyDescent="0.2">
      <c r="B40" s="166"/>
      <c r="C40" s="166"/>
      <c r="E40" s="79"/>
      <c r="F40" s="167"/>
      <c r="H40" s="168" t="s">
        <v>196</v>
      </c>
      <c r="I40" s="169">
        <f>SUM(I29:I39)</f>
        <v>0</v>
      </c>
      <c r="J40" s="170" t="s">
        <v>75</v>
      </c>
      <c r="K40" s="171"/>
      <c r="L40" s="172"/>
      <c r="O40" s="98"/>
      <c r="P40" s="98"/>
      <c r="Q40" s="98"/>
      <c r="R40" s="98"/>
      <c r="S40" s="98"/>
      <c r="T40" s="98"/>
      <c r="W40" s="173"/>
      <c r="X40" s="173"/>
    </row>
    <row r="41" spans="2:25" x14ac:dyDescent="0.2">
      <c r="B41" s="202"/>
      <c r="C41" s="160"/>
      <c r="D41" s="161"/>
      <c r="F41" s="162"/>
      <c r="G41" s="164"/>
      <c r="H41" s="164"/>
      <c r="I41" s="164"/>
      <c r="J41" s="175"/>
      <c r="K41" s="130"/>
      <c r="L41" s="131"/>
      <c r="M41" s="132"/>
      <c r="N41" s="98"/>
      <c r="O41" s="98"/>
      <c r="P41" s="98"/>
      <c r="W41" s="131"/>
      <c r="X41" s="131"/>
    </row>
    <row r="42" spans="2:25" x14ac:dyDescent="0.2">
      <c r="B42" s="124" t="s">
        <v>228</v>
      </c>
      <c r="C42" s="125"/>
      <c r="D42" s="79"/>
      <c r="E42" s="79"/>
      <c r="F42" s="126"/>
      <c r="G42" s="127"/>
      <c r="H42" s="128"/>
      <c r="I42" s="128"/>
      <c r="J42" s="129"/>
      <c r="K42" s="130"/>
      <c r="L42" s="131"/>
      <c r="M42" s="132"/>
      <c r="N42" s="98"/>
      <c r="O42" s="98"/>
      <c r="P42" s="98"/>
      <c r="W42" s="131"/>
      <c r="X42" s="131"/>
    </row>
    <row r="43" spans="2:25" x14ac:dyDescent="0.2">
      <c r="B43" s="133">
        <v>1</v>
      </c>
      <c r="C43" s="133" t="s">
        <v>1</v>
      </c>
      <c r="D43" s="134"/>
      <c r="E43" s="134" t="s">
        <v>383</v>
      </c>
      <c r="F43" s="135" t="s">
        <v>10</v>
      </c>
      <c r="G43" s="136">
        <v>9</v>
      </c>
      <c r="H43" s="136"/>
      <c r="I43" s="136"/>
      <c r="J43" s="138"/>
      <c r="K43" s="163"/>
      <c r="L43" s="131"/>
      <c r="O43" s="141"/>
      <c r="P43" s="141"/>
      <c r="W43" s="143"/>
      <c r="X43" s="143"/>
    </row>
    <row r="44" spans="2:25" s="185" customFormat="1" ht="23.25" customHeight="1" x14ac:dyDescent="0.2">
      <c r="B44" s="203">
        <v>2</v>
      </c>
      <c r="C44" s="180" t="s">
        <v>0</v>
      </c>
      <c r="D44" s="153" t="s">
        <v>9</v>
      </c>
      <c r="E44" s="154" t="s">
        <v>384</v>
      </c>
      <c r="F44" s="155" t="s">
        <v>10</v>
      </c>
      <c r="G44" s="156">
        <v>9</v>
      </c>
      <c r="H44" s="157"/>
      <c r="I44" s="158"/>
      <c r="J44" s="159" t="s">
        <v>271</v>
      </c>
      <c r="K44" s="188"/>
      <c r="L44" s="183"/>
      <c r="N44" s="189"/>
      <c r="W44" s="186"/>
      <c r="X44" s="186"/>
    </row>
    <row r="45" spans="2:25" x14ac:dyDescent="0.2">
      <c r="B45" s="133">
        <v>3</v>
      </c>
      <c r="C45" s="133" t="s">
        <v>1</v>
      </c>
      <c r="D45" s="134">
        <v>936104211</v>
      </c>
      <c r="E45" s="134" t="s">
        <v>306</v>
      </c>
      <c r="F45" s="135" t="s">
        <v>10</v>
      </c>
      <c r="G45" s="136">
        <v>2</v>
      </c>
      <c r="H45" s="136"/>
      <c r="I45" s="136"/>
      <c r="J45" s="138"/>
      <c r="K45" s="163"/>
      <c r="L45" s="131"/>
      <c r="O45" s="141"/>
      <c r="P45" s="141"/>
      <c r="W45" s="143"/>
      <c r="X45" s="143"/>
    </row>
    <row r="46" spans="2:25" s="185" customFormat="1" ht="24" x14ac:dyDescent="0.2">
      <c r="B46" s="203">
        <v>4</v>
      </c>
      <c r="C46" s="180" t="s">
        <v>0</v>
      </c>
      <c r="D46" s="153" t="s">
        <v>9</v>
      </c>
      <c r="E46" s="154" t="s">
        <v>382</v>
      </c>
      <c r="F46" s="155" t="s">
        <v>10</v>
      </c>
      <c r="G46" s="156">
        <v>2</v>
      </c>
      <c r="H46" s="157"/>
      <c r="I46" s="158"/>
      <c r="J46" s="159" t="s">
        <v>214</v>
      </c>
      <c r="K46" s="188"/>
      <c r="L46" s="183"/>
      <c r="N46" s="189"/>
      <c r="W46" s="186"/>
      <c r="X46" s="186"/>
    </row>
    <row r="47" spans="2:25" ht="24" x14ac:dyDescent="0.2">
      <c r="B47" s="133">
        <v>5</v>
      </c>
      <c r="C47" s="180" t="s">
        <v>0</v>
      </c>
      <c r="D47" s="153" t="s">
        <v>9</v>
      </c>
      <c r="E47" s="154" t="s">
        <v>288</v>
      </c>
      <c r="F47" s="155" t="s">
        <v>10</v>
      </c>
      <c r="G47" s="156">
        <v>1</v>
      </c>
      <c r="H47" s="157"/>
      <c r="I47" s="158"/>
      <c r="J47" s="159" t="s">
        <v>302</v>
      </c>
      <c r="K47" s="163"/>
      <c r="L47" s="131"/>
      <c r="O47" s="141"/>
      <c r="P47" s="141"/>
      <c r="W47" s="143"/>
      <c r="X47" s="143"/>
    </row>
    <row r="48" spans="2:25" ht="36" x14ac:dyDescent="0.2">
      <c r="B48" s="203">
        <v>6</v>
      </c>
      <c r="C48" s="180" t="s">
        <v>0</v>
      </c>
      <c r="D48" s="153" t="s">
        <v>9</v>
      </c>
      <c r="E48" s="154" t="s">
        <v>270</v>
      </c>
      <c r="F48" s="155" t="s">
        <v>10</v>
      </c>
      <c r="G48" s="156">
        <v>1</v>
      </c>
      <c r="H48" s="157"/>
      <c r="I48" s="158"/>
      <c r="J48" s="159" t="s">
        <v>303</v>
      </c>
      <c r="K48" s="163"/>
      <c r="L48" s="131"/>
      <c r="O48" s="141"/>
      <c r="P48" s="141"/>
      <c r="W48" s="143"/>
      <c r="X48" s="143"/>
    </row>
    <row r="49" spans="2:25" x14ac:dyDescent="0.2">
      <c r="B49" s="160"/>
      <c r="C49" s="160"/>
      <c r="D49" s="161"/>
      <c r="F49" s="162"/>
      <c r="G49" s="163"/>
      <c r="H49" s="164"/>
      <c r="I49" s="164"/>
      <c r="J49" s="165"/>
      <c r="K49" s="163"/>
      <c r="L49" s="131"/>
      <c r="Q49" s="88"/>
      <c r="R49" s="88"/>
      <c r="W49" s="99"/>
      <c r="X49" s="99"/>
      <c r="Y49" s="140"/>
    </row>
    <row r="50" spans="2:25" s="88" customFormat="1" x14ac:dyDescent="0.2">
      <c r="B50" s="166"/>
      <c r="C50" s="166"/>
      <c r="E50" s="79"/>
      <c r="F50" s="167"/>
      <c r="H50" s="168" t="s">
        <v>194</v>
      </c>
      <c r="I50" s="169">
        <f>SUM(I43:I49)</f>
        <v>0</v>
      </c>
      <c r="J50" s="170" t="s">
        <v>75</v>
      </c>
      <c r="K50" s="171"/>
      <c r="L50" s="172"/>
      <c r="O50" s="98"/>
      <c r="P50" s="98"/>
      <c r="Q50" s="98"/>
      <c r="R50" s="98"/>
      <c r="S50" s="98"/>
      <c r="T50" s="98"/>
      <c r="W50" s="173"/>
      <c r="X50" s="173"/>
    </row>
    <row r="51" spans="2:25" x14ac:dyDescent="0.2">
      <c r="B51" s="202"/>
      <c r="C51" s="160"/>
      <c r="D51" s="161"/>
      <c r="F51" s="162"/>
      <c r="G51" s="164"/>
      <c r="H51" s="164"/>
      <c r="I51" s="164"/>
      <c r="J51" s="175"/>
      <c r="K51" s="130"/>
      <c r="L51" s="131"/>
      <c r="M51" s="132"/>
      <c r="N51" s="98"/>
      <c r="O51" s="98"/>
      <c r="P51" s="98"/>
      <c r="W51" s="131"/>
      <c r="X51" s="131"/>
    </row>
    <row r="52" spans="2:25" x14ac:dyDescent="0.2">
      <c r="B52" s="124" t="s">
        <v>229</v>
      </c>
      <c r="C52" s="125"/>
      <c r="D52" s="79"/>
      <c r="E52" s="79"/>
      <c r="F52" s="126"/>
      <c r="G52" s="127"/>
      <c r="H52" s="128"/>
      <c r="I52" s="128"/>
      <c r="J52" s="129"/>
      <c r="K52" s="130"/>
      <c r="L52" s="131"/>
      <c r="M52" s="132"/>
      <c r="N52" s="98"/>
      <c r="O52" s="98"/>
      <c r="P52" s="98"/>
      <c r="W52" s="131"/>
      <c r="X52" s="131"/>
    </row>
    <row r="53" spans="2:25" x14ac:dyDescent="0.2">
      <c r="B53" s="204"/>
      <c r="C53" s="125"/>
      <c r="D53" s="79"/>
      <c r="E53" s="79"/>
      <c r="F53" s="126"/>
      <c r="G53" s="127"/>
      <c r="H53" s="128"/>
      <c r="I53" s="128"/>
      <c r="J53" s="129"/>
      <c r="K53" s="130"/>
      <c r="L53" s="131"/>
      <c r="M53" s="132"/>
      <c r="N53" s="98"/>
      <c r="O53" s="98"/>
      <c r="P53" s="98"/>
      <c r="W53" s="131"/>
      <c r="X53" s="131"/>
    </row>
    <row r="54" spans="2:25" x14ac:dyDescent="0.2">
      <c r="B54" s="205" t="s">
        <v>381</v>
      </c>
      <c r="C54" s="125"/>
      <c r="D54" s="79"/>
      <c r="E54" s="79"/>
      <c r="F54" s="126"/>
      <c r="G54" s="127"/>
      <c r="H54" s="128"/>
      <c r="I54" s="128"/>
      <c r="J54" s="129"/>
      <c r="K54" s="130"/>
      <c r="L54" s="131"/>
      <c r="M54" s="132"/>
      <c r="N54" s="98"/>
      <c r="O54" s="98"/>
      <c r="P54" s="98"/>
      <c r="W54" s="131"/>
      <c r="X54" s="131"/>
    </row>
    <row r="55" spans="2:25" x14ac:dyDescent="0.2">
      <c r="B55" s="203">
        <v>1</v>
      </c>
      <c r="C55" s="133" t="s">
        <v>1</v>
      </c>
      <c r="D55" s="134">
        <v>112151011</v>
      </c>
      <c r="E55" s="134" t="s">
        <v>220</v>
      </c>
      <c r="F55" s="135" t="s">
        <v>10</v>
      </c>
      <c r="G55" s="206">
        <v>22</v>
      </c>
      <c r="H55" s="136"/>
      <c r="I55" s="136"/>
      <c r="J55" s="207" t="s">
        <v>305</v>
      </c>
      <c r="K55" s="130"/>
      <c r="L55" s="131"/>
      <c r="M55" s="132"/>
      <c r="N55" s="98"/>
      <c r="O55" s="98"/>
      <c r="P55" s="98"/>
      <c r="W55" s="131"/>
      <c r="X55" s="131"/>
    </row>
    <row r="56" spans="2:25" x14ac:dyDescent="0.2">
      <c r="B56" s="203">
        <v>2</v>
      </c>
      <c r="C56" s="133" t="s">
        <v>1</v>
      </c>
      <c r="D56" s="208">
        <v>112151012</v>
      </c>
      <c r="E56" s="209" t="s">
        <v>221</v>
      </c>
      <c r="F56" s="210" t="s">
        <v>10</v>
      </c>
      <c r="G56" s="206">
        <v>4</v>
      </c>
      <c r="H56" s="211"/>
      <c r="I56" s="211"/>
      <c r="J56" s="138" t="s">
        <v>304</v>
      </c>
      <c r="K56" s="130"/>
      <c r="L56" s="131"/>
      <c r="M56" s="132"/>
      <c r="N56" s="98"/>
      <c r="O56" s="98"/>
      <c r="P56" s="98"/>
      <c r="W56" s="131"/>
      <c r="X56" s="131"/>
    </row>
    <row r="57" spans="2:25" x14ac:dyDescent="0.2">
      <c r="B57" s="212" t="s">
        <v>245</v>
      </c>
      <c r="C57" s="133"/>
      <c r="D57" s="134"/>
      <c r="E57" s="213"/>
      <c r="F57" s="214"/>
      <c r="G57" s="215"/>
      <c r="H57" s="215"/>
      <c r="I57" s="215"/>
      <c r="J57" s="216"/>
      <c r="K57" s="139"/>
      <c r="L57" s="131"/>
      <c r="W57" s="140"/>
      <c r="X57" s="140"/>
    </row>
    <row r="58" spans="2:25" ht="24" x14ac:dyDescent="0.2">
      <c r="B58" s="133">
        <v>3</v>
      </c>
      <c r="C58" s="133" t="s">
        <v>1</v>
      </c>
      <c r="D58" s="134">
        <v>112201111</v>
      </c>
      <c r="E58" s="134" t="s">
        <v>27</v>
      </c>
      <c r="F58" s="135" t="s">
        <v>10</v>
      </c>
      <c r="G58" s="206">
        <v>22</v>
      </c>
      <c r="H58" s="136"/>
      <c r="I58" s="136"/>
      <c r="J58" s="194" t="s">
        <v>269</v>
      </c>
      <c r="K58" s="139"/>
      <c r="L58" s="131"/>
      <c r="W58" s="140"/>
      <c r="X58" s="140"/>
    </row>
    <row r="59" spans="2:25" ht="24" x14ac:dyDescent="0.2">
      <c r="B59" s="133">
        <v>4</v>
      </c>
      <c r="C59" s="133" t="s">
        <v>1</v>
      </c>
      <c r="D59" s="134">
        <v>112201113</v>
      </c>
      <c r="E59" s="134" t="s">
        <v>28</v>
      </c>
      <c r="F59" s="135" t="s">
        <v>10</v>
      </c>
      <c r="G59" s="206">
        <v>4</v>
      </c>
      <c r="H59" s="136"/>
      <c r="I59" s="136"/>
      <c r="J59" s="194" t="s">
        <v>269</v>
      </c>
      <c r="K59" s="139"/>
      <c r="L59" s="131"/>
      <c r="W59" s="140"/>
      <c r="X59" s="140"/>
    </row>
    <row r="60" spans="2:25" ht="24" x14ac:dyDescent="0.2">
      <c r="B60" s="133">
        <v>5</v>
      </c>
      <c r="C60" s="133" t="s">
        <v>1</v>
      </c>
      <c r="D60" s="134">
        <v>112201114</v>
      </c>
      <c r="E60" s="134" t="s">
        <v>29</v>
      </c>
      <c r="F60" s="135" t="s">
        <v>10</v>
      </c>
      <c r="G60" s="206">
        <v>7</v>
      </c>
      <c r="H60" s="136"/>
      <c r="I60" s="136"/>
      <c r="J60" s="194" t="s">
        <v>268</v>
      </c>
      <c r="K60" s="139"/>
      <c r="L60" s="131"/>
      <c r="W60" s="140"/>
      <c r="X60" s="140"/>
    </row>
    <row r="61" spans="2:25" ht="24" x14ac:dyDescent="0.2">
      <c r="B61" s="133">
        <v>6</v>
      </c>
      <c r="C61" s="133" t="s">
        <v>1</v>
      </c>
      <c r="D61" s="134">
        <v>111212211</v>
      </c>
      <c r="E61" s="134" t="s">
        <v>30</v>
      </c>
      <c r="F61" s="135" t="s">
        <v>357</v>
      </c>
      <c r="G61" s="177">
        <v>11</v>
      </c>
      <c r="H61" s="136"/>
      <c r="I61" s="136"/>
      <c r="J61" s="194" t="s">
        <v>222</v>
      </c>
      <c r="K61" s="139"/>
      <c r="L61" s="131"/>
      <c r="M61" s="217"/>
      <c r="Q61" s="141"/>
      <c r="R61" s="141"/>
      <c r="S61" s="141"/>
      <c r="T61" s="141"/>
      <c r="W61" s="140"/>
      <c r="X61" s="140"/>
    </row>
    <row r="62" spans="2:25" x14ac:dyDescent="0.2">
      <c r="B62" s="133">
        <v>7</v>
      </c>
      <c r="C62" s="133" t="s">
        <v>1</v>
      </c>
      <c r="D62" s="134"/>
      <c r="E62" s="200" t="s">
        <v>358</v>
      </c>
      <c r="F62" s="135" t="s">
        <v>7</v>
      </c>
      <c r="G62" s="206">
        <f>3*25*2</f>
        <v>150</v>
      </c>
      <c r="H62" s="136"/>
      <c r="I62" s="136"/>
      <c r="J62" s="138" t="s">
        <v>223</v>
      </c>
      <c r="K62" s="163"/>
      <c r="L62" s="131"/>
      <c r="O62" s="141"/>
      <c r="P62" s="141"/>
      <c r="W62" s="143"/>
      <c r="X62" s="143"/>
    </row>
    <row r="63" spans="2:25" ht="24" x14ac:dyDescent="0.2">
      <c r="B63" s="133">
        <v>8</v>
      </c>
      <c r="C63" s="133" t="s">
        <v>1</v>
      </c>
      <c r="D63" s="134">
        <v>469973127</v>
      </c>
      <c r="E63" s="134" t="s">
        <v>227</v>
      </c>
      <c r="F63" s="135" t="s">
        <v>6</v>
      </c>
      <c r="G63" s="177">
        <f>3*2</f>
        <v>6</v>
      </c>
      <c r="H63" s="136"/>
      <c r="I63" s="136"/>
      <c r="J63" s="138" t="s">
        <v>224</v>
      </c>
      <c r="K63" s="163"/>
      <c r="L63" s="131"/>
      <c r="W63" s="99"/>
      <c r="X63" s="99"/>
      <c r="Y63" s="140"/>
    </row>
    <row r="64" spans="2:25" s="88" customFormat="1" x14ac:dyDescent="0.2">
      <c r="B64" s="166"/>
      <c r="C64" s="166"/>
      <c r="E64" s="79"/>
      <c r="F64" s="167"/>
      <c r="H64" s="168" t="s">
        <v>131</v>
      </c>
      <c r="I64" s="218">
        <f>SUM(I55:I63)</f>
        <v>0</v>
      </c>
      <c r="J64" s="170" t="s">
        <v>75</v>
      </c>
      <c r="K64" s="171"/>
      <c r="L64" s="172"/>
      <c r="O64" s="98"/>
      <c r="P64" s="98"/>
      <c r="Q64" s="98"/>
      <c r="R64" s="98"/>
      <c r="S64" s="98"/>
      <c r="T64" s="98"/>
      <c r="W64" s="173"/>
      <c r="X64" s="173"/>
    </row>
    <row r="65" spans="2:25" x14ac:dyDescent="0.2">
      <c r="B65" s="205" t="s">
        <v>74</v>
      </c>
      <c r="C65" s="125"/>
      <c r="D65" s="79"/>
      <c r="E65" s="79"/>
      <c r="F65" s="126"/>
      <c r="G65" s="127"/>
      <c r="H65" s="128"/>
      <c r="I65" s="128"/>
      <c r="J65" s="129"/>
      <c r="K65" s="130"/>
      <c r="L65" s="131"/>
      <c r="M65" s="132"/>
      <c r="N65" s="98"/>
      <c r="O65" s="98"/>
      <c r="P65" s="98"/>
      <c r="W65" s="131"/>
      <c r="X65" s="131"/>
    </row>
    <row r="66" spans="2:25" ht="24" x14ac:dyDescent="0.2">
      <c r="B66" s="133">
        <v>9</v>
      </c>
      <c r="C66" s="133" t="s">
        <v>1</v>
      </c>
      <c r="D66" s="134">
        <v>183101115</v>
      </c>
      <c r="E66" s="134" t="s">
        <v>206</v>
      </c>
      <c r="F66" s="135" t="s">
        <v>10</v>
      </c>
      <c r="G66" s="206">
        <f>SUM(N2,N4)</f>
        <v>15</v>
      </c>
      <c r="H66" s="136"/>
      <c r="I66" s="136"/>
      <c r="J66" s="194" t="s">
        <v>246</v>
      </c>
      <c r="K66" s="139"/>
      <c r="L66" s="131"/>
      <c r="O66" s="88"/>
      <c r="P66" s="88"/>
      <c r="Q66" s="141"/>
      <c r="R66" s="141"/>
      <c r="S66" s="219"/>
      <c r="T66" s="219"/>
      <c r="W66" s="172"/>
      <c r="X66" s="172"/>
    </row>
    <row r="67" spans="2:25" s="226" customFormat="1" x14ac:dyDescent="0.2">
      <c r="B67" s="199">
        <v>10</v>
      </c>
      <c r="C67" s="199" t="s">
        <v>1</v>
      </c>
      <c r="D67" s="200">
        <v>183102135</v>
      </c>
      <c r="E67" s="200" t="s">
        <v>359</v>
      </c>
      <c r="F67" s="220" t="s">
        <v>10</v>
      </c>
      <c r="G67" s="221">
        <f>SUM(O2,O4)</f>
        <v>3</v>
      </c>
      <c r="H67" s="137"/>
      <c r="I67" s="137"/>
      <c r="J67" s="194" t="s">
        <v>247</v>
      </c>
      <c r="K67" s="222"/>
      <c r="L67" s="223"/>
      <c r="O67" s="225"/>
      <c r="P67" s="225"/>
      <c r="S67" s="225"/>
      <c r="T67" s="225"/>
      <c r="W67" s="227"/>
      <c r="X67" s="227"/>
    </row>
    <row r="68" spans="2:25" ht="24" x14ac:dyDescent="0.2">
      <c r="B68" s="133">
        <v>11</v>
      </c>
      <c r="C68" s="133" t="s">
        <v>1</v>
      </c>
      <c r="D68" s="134">
        <v>183101121</v>
      </c>
      <c r="E68" s="134" t="s">
        <v>360</v>
      </c>
      <c r="F68" s="135" t="s">
        <v>10</v>
      </c>
      <c r="G68" s="206">
        <f>SUM(N3,N6,N5)</f>
        <v>3</v>
      </c>
      <c r="H68" s="136"/>
      <c r="I68" s="136"/>
      <c r="J68" s="194" t="s">
        <v>207</v>
      </c>
      <c r="K68" s="164"/>
      <c r="L68" s="131"/>
      <c r="Q68" s="219"/>
      <c r="R68" s="219"/>
      <c r="S68" s="141"/>
      <c r="T68" s="141"/>
      <c r="U68" s="172"/>
      <c r="V68" s="172"/>
      <c r="W68" s="99"/>
      <c r="X68" s="99"/>
    </row>
    <row r="69" spans="2:25" x14ac:dyDescent="0.2">
      <c r="B69" s="133">
        <v>12</v>
      </c>
      <c r="C69" s="133" t="s">
        <v>1</v>
      </c>
      <c r="D69" s="134">
        <v>184102115</v>
      </c>
      <c r="E69" s="134" t="s">
        <v>361</v>
      </c>
      <c r="F69" s="135" t="s">
        <v>10</v>
      </c>
      <c r="G69" s="206">
        <f>SUM(N2:N6)</f>
        <v>18</v>
      </c>
      <c r="H69" s="136"/>
      <c r="I69" s="136"/>
      <c r="J69" s="194" t="s">
        <v>246</v>
      </c>
      <c r="K69" s="139"/>
      <c r="L69" s="131"/>
      <c r="Q69" s="141"/>
      <c r="R69" s="141"/>
      <c r="S69" s="141"/>
      <c r="T69" s="141"/>
      <c r="W69" s="140"/>
      <c r="X69" s="140"/>
    </row>
    <row r="70" spans="2:25" s="226" customFormat="1" x14ac:dyDescent="0.2">
      <c r="B70" s="199">
        <v>13</v>
      </c>
      <c r="C70" s="199" t="s">
        <v>1</v>
      </c>
      <c r="D70" s="200">
        <v>184102125</v>
      </c>
      <c r="E70" s="200" t="s">
        <v>362</v>
      </c>
      <c r="F70" s="220" t="s">
        <v>10</v>
      </c>
      <c r="G70" s="221">
        <f>SUM(O2:O6)</f>
        <v>3</v>
      </c>
      <c r="H70" s="137"/>
      <c r="I70" s="137"/>
      <c r="J70" s="194" t="s">
        <v>247</v>
      </c>
      <c r="K70" s="228"/>
      <c r="L70" s="223"/>
      <c r="Y70" s="224"/>
    </row>
    <row r="71" spans="2:25" ht="24" x14ac:dyDescent="0.2">
      <c r="B71" s="133">
        <v>14</v>
      </c>
      <c r="C71" s="133" t="s">
        <v>1</v>
      </c>
      <c r="D71" s="134">
        <v>185802114</v>
      </c>
      <c r="E71" s="134" t="s">
        <v>208</v>
      </c>
      <c r="F71" s="135" t="s">
        <v>6</v>
      </c>
      <c r="G71" s="229">
        <f>SUM(N2:N6)*0.00004</f>
        <v>7.2000000000000005E-4</v>
      </c>
      <c r="H71" s="136"/>
      <c r="I71" s="136"/>
      <c r="J71" s="138" t="s">
        <v>91</v>
      </c>
      <c r="K71" s="139"/>
      <c r="L71" s="131"/>
      <c r="Q71" s="141"/>
      <c r="R71" s="141"/>
      <c r="S71" s="141"/>
      <c r="T71" s="141"/>
      <c r="W71" s="140"/>
      <c r="X71" s="140"/>
    </row>
    <row r="72" spans="2:25" s="226" customFormat="1" ht="24" x14ac:dyDescent="0.2">
      <c r="B72" s="133">
        <v>15</v>
      </c>
      <c r="C72" s="199" t="s">
        <v>1</v>
      </c>
      <c r="D72" s="200">
        <v>185802124</v>
      </c>
      <c r="E72" s="200" t="s">
        <v>209</v>
      </c>
      <c r="F72" s="220" t="s">
        <v>6</v>
      </c>
      <c r="G72" s="230">
        <f>SUM(O2:O6)*0.00004</f>
        <v>1.2000000000000002E-4</v>
      </c>
      <c r="H72" s="137"/>
      <c r="I72" s="137"/>
      <c r="J72" s="194" t="s">
        <v>91</v>
      </c>
      <c r="K72" s="228"/>
      <c r="L72" s="223"/>
      <c r="Y72" s="224"/>
    </row>
    <row r="73" spans="2:25" s="185" customFormat="1" x14ac:dyDescent="0.2">
      <c r="B73" s="199">
        <v>16</v>
      </c>
      <c r="C73" s="180" t="s">
        <v>0</v>
      </c>
      <c r="D73" s="187" t="s">
        <v>9</v>
      </c>
      <c r="E73" s="154" t="s">
        <v>92</v>
      </c>
      <c r="F73" s="155" t="s">
        <v>10</v>
      </c>
      <c r="G73" s="231">
        <f>SUM(N2:P6)*4</f>
        <v>84</v>
      </c>
      <c r="H73" s="158"/>
      <c r="I73" s="158"/>
      <c r="J73" s="159" t="s">
        <v>248</v>
      </c>
      <c r="K73" s="188"/>
      <c r="L73" s="183"/>
      <c r="W73" s="186"/>
      <c r="X73" s="186"/>
    </row>
    <row r="74" spans="2:25" s="233" customFormat="1" x14ac:dyDescent="0.2">
      <c r="B74" s="133">
        <v>17</v>
      </c>
      <c r="C74" s="133" t="s">
        <v>1</v>
      </c>
      <c r="D74" s="200">
        <v>184813161</v>
      </c>
      <c r="E74" s="134" t="s">
        <v>299</v>
      </c>
      <c r="F74" s="135" t="s">
        <v>10</v>
      </c>
      <c r="G74" s="206">
        <f>SUM(N2:P5,N7:P7)</f>
        <v>18</v>
      </c>
      <c r="H74" s="136"/>
      <c r="I74" s="136"/>
      <c r="J74" s="194" t="s">
        <v>249</v>
      </c>
      <c r="K74" s="232"/>
      <c r="L74" s="131"/>
      <c r="O74" s="161"/>
      <c r="P74" s="161"/>
      <c r="Q74" s="197"/>
      <c r="R74" s="197"/>
      <c r="S74" s="161"/>
      <c r="T74" s="161"/>
      <c r="W74" s="235"/>
      <c r="X74" s="235"/>
    </row>
    <row r="75" spans="2:25" s="238" customFormat="1" x14ac:dyDescent="0.2">
      <c r="B75" s="133">
        <v>18</v>
      </c>
      <c r="C75" s="180" t="s">
        <v>0</v>
      </c>
      <c r="D75" s="187" t="s">
        <v>9</v>
      </c>
      <c r="E75" s="154" t="s">
        <v>128</v>
      </c>
      <c r="F75" s="236" t="s">
        <v>5</v>
      </c>
      <c r="G75" s="156">
        <f>SUM(N2:P5,N7:P7)*0.06</f>
        <v>1.08</v>
      </c>
      <c r="H75" s="158"/>
      <c r="I75" s="158"/>
      <c r="J75" s="159" t="s">
        <v>93</v>
      </c>
      <c r="K75" s="188"/>
      <c r="L75" s="183"/>
      <c r="O75" s="237"/>
      <c r="P75" s="237"/>
      <c r="S75" s="237"/>
      <c r="T75" s="237"/>
      <c r="W75" s="239"/>
      <c r="X75" s="239"/>
    </row>
    <row r="76" spans="2:25" s="238" customFormat="1" x14ac:dyDescent="0.2">
      <c r="B76" s="199">
        <v>19</v>
      </c>
      <c r="C76" s="180" t="s">
        <v>0</v>
      </c>
      <c r="D76" s="187" t="s">
        <v>9</v>
      </c>
      <c r="E76" s="154" t="s">
        <v>129</v>
      </c>
      <c r="F76" s="155" t="s">
        <v>5</v>
      </c>
      <c r="G76" s="156">
        <f>SUM(N2:P5,N7:P7)*0.3</f>
        <v>5.3999999999999995</v>
      </c>
      <c r="H76" s="158"/>
      <c r="I76" s="158"/>
      <c r="J76" s="159" t="s">
        <v>94</v>
      </c>
      <c r="K76" s="188"/>
      <c r="L76" s="183"/>
      <c r="O76" s="237"/>
      <c r="P76" s="237"/>
      <c r="S76" s="237"/>
      <c r="T76" s="237"/>
      <c r="W76" s="239"/>
      <c r="X76" s="239"/>
    </row>
    <row r="77" spans="2:25" x14ac:dyDescent="0.2">
      <c r="B77" s="133">
        <v>20</v>
      </c>
      <c r="C77" s="133" t="s">
        <v>1</v>
      </c>
      <c r="D77" s="134">
        <v>184215133</v>
      </c>
      <c r="E77" s="134" t="s">
        <v>31</v>
      </c>
      <c r="F77" s="135" t="s">
        <v>10</v>
      </c>
      <c r="G77" s="206">
        <f>SUM(N2:P2,N3:P3)</f>
        <v>16</v>
      </c>
      <c r="H77" s="136"/>
      <c r="I77" s="136"/>
      <c r="J77" s="194" t="s">
        <v>210</v>
      </c>
      <c r="K77" s="139"/>
      <c r="L77" s="131"/>
      <c r="Q77" s="240"/>
      <c r="R77" s="240"/>
      <c r="S77" s="88"/>
      <c r="T77" s="88"/>
      <c r="W77" s="140"/>
      <c r="X77" s="140"/>
    </row>
    <row r="78" spans="2:25" s="185" customFormat="1" x14ac:dyDescent="0.2">
      <c r="B78" s="133">
        <v>21</v>
      </c>
      <c r="C78" s="180" t="s">
        <v>0</v>
      </c>
      <c r="D78" s="187">
        <v>60591255</v>
      </c>
      <c r="E78" s="154" t="s">
        <v>95</v>
      </c>
      <c r="F78" s="155" t="s">
        <v>10</v>
      </c>
      <c r="G78" s="231">
        <f>SUM(N2:P2,N3:P3)*3</f>
        <v>48</v>
      </c>
      <c r="H78" s="158"/>
      <c r="I78" s="158"/>
      <c r="J78" s="159" t="s">
        <v>121</v>
      </c>
      <c r="K78" s="188"/>
      <c r="L78" s="183"/>
      <c r="O78" s="241"/>
      <c r="P78" s="241"/>
      <c r="S78" s="241"/>
      <c r="T78" s="241"/>
      <c r="W78" s="242"/>
      <c r="X78" s="242"/>
    </row>
    <row r="79" spans="2:25" s="185" customFormat="1" x14ac:dyDescent="0.2">
      <c r="B79" s="199">
        <v>22</v>
      </c>
      <c r="C79" s="180" t="s">
        <v>0</v>
      </c>
      <c r="D79" s="187" t="s">
        <v>9</v>
      </c>
      <c r="E79" s="154" t="s">
        <v>44</v>
      </c>
      <c r="F79" s="155" t="s">
        <v>10</v>
      </c>
      <c r="G79" s="231">
        <f>SUM(N2:P2,N3:P3)*3</f>
        <v>48</v>
      </c>
      <c r="H79" s="158"/>
      <c r="I79" s="158"/>
      <c r="J79" s="159" t="s">
        <v>121</v>
      </c>
      <c r="K79" s="188"/>
      <c r="L79" s="183"/>
      <c r="O79" s="241"/>
      <c r="P79" s="241"/>
      <c r="S79" s="241"/>
      <c r="T79" s="241"/>
      <c r="W79" s="242"/>
      <c r="X79" s="242"/>
    </row>
    <row r="80" spans="2:25" s="185" customFormat="1" x14ac:dyDescent="0.2">
      <c r="B80" s="133">
        <v>23</v>
      </c>
      <c r="C80" s="180" t="s">
        <v>0</v>
      </c>
      <c r="D80" s="187" t="s">
        <v>9</v>
      </c>
      <c r="E80" s="154" t="s">
        <v>23</v>
      </c>
      <c r="F80" s="155" t="s">
        <v>2</v>
      </c>
      <c r="G80" s="243">
        <f>SUM(N2:P2,N3:P3)*1.5</f>
        <v>24</v>
      </c>
      <c r="H80" s="158"/>
      <c r="I80" s="158"/>
      <c r="J80" s="159" t="s">
        <v>125</v>
      </c>
      <c r="K80" s="188"/>
      <c r="L80" s="183"/>
      <c r="O80" s="241"/>
      <c r="P80" s="241"/>
      <c r="S80" s="241"/>
      <c r="T80" s="241"/>
      <c r="W80" s="242"/>
      <c r="X80" s="242"/>
    </row>
    <row r="81" spans="2:25" ht="24" x14ac:dyDescent="0.2">
      <c r="B81" s="133">
        <v>24</v>
      </c>
      <c r="C81" s="133" t="s">
        <v>1</v>
      </c>
      <c r="D81" s="134">
        <v>184215112</v>
      </c>
      <c r="E81" s="134" t="s">
        <v>201</v>
      </c>
      <c r="F81" s="135" t="s">
        <v>10</v>
      </c>
      <c r="G81" s="206">
        <f>SUM(N4:P7)</f>
        <v>5</v>
      </c>
      <c r="H81" s="136"/>
      <c r="I81" s="136"/>
      <c r="J81" s="138" t="s">
        <v>202</v>
      </c>
      <c r="K81" s="139"/>
      <c r="L81" s="131"/>
      <c r="O81" s="88"/>
      <c r="P81" s="88"/>
      <c r="Q81" s="240"/>
      <c r="R81" s="240"/>
      <c r="S81" s="88"/>
      <c r="T81" s="88"/>
      <c r="W81" s="172"/>
      <c r="X81" s="172"/>
    </row>
    <row r="82" spans="2:25" s="185" customFormat="1" ht="24" x14ac:dyDescent="0.2">
      <c r="B82" s="199">
        <v>25</v>
      </c>
      <c r="C82" s="180" t="s">
        <v>0</v>
      </c>
      <c r="D82" s="153">
        <v>60591253</v>
      </c>
      <c r="E82" s="187" t="s">
        <v>49</v>
      </c>
      <c r="F82" s="155" t="s">
        <v>10</v>
      </c>
      <c r="G82" s="231">
        <f>SUM(N4:P7)</f>
        <v>5</v>
      </c>
      <c r="H82" s="158"/>
      <c r="I82" s="158"/>
      <c r="J82" s="138" t="s">
        <v>211</v>
      </c>
      <c r="K82" s="188"/>
      <c r="L82" s="183"/>
      <c r="O82" s="241"/>
      <c r="P82" s="241"/>
      <c r="W82" s="242"/>
      <c r="X82" s="242"/>
    </row>
    <row r="83" spans="2:25" s="185" customFormat="1" x14ac:dyDescent="0.2">
      <c r="B83" s="133">
        <v>26</v>
      </c>
      <c r="C83" s="180" t="s">
        <v>0</v>
      </c>
      <c r="D83" s="187" t="s">
        <v>9</v>
      </c>
      <c r="E83" s="187" t="s">
        <v>14</v>
      </c>
      <c r="F83" s="155" t="s">
        <v>10</v>
      </c>
      <c r="G83" s="243">
        <f>SUM(N4:P7)*0.5</f>
        <v>2.5</v>
      </c>
      <c r="H83" s="158"/>
      <c r="I83" s="158"/>
      <c r="J83" s="159" t="s">
        <v>124</v>
      </c>
      <c r="K83" s="244"/>
      <c r="L83" s="183"/>
      <c r="S83" s="241"/>
      <c r="T83" s="241"/>
      <c r="Y83" s="186"/>
    </row>
    <row r="84" spans="2:25" s="247" customFormat="1" ht="14.25" x14ac:dyDescent="0.2">
      <c r="B84" s="133">
        <v>27</v>
      </c>
      <c r="C84" s="199" t="s">
        <v>1</v>
      </c>
      <c r="D84" s="200">
        <v>184911431</v>
      </c>
      <c r="E84" s="200" t="s">
        <v>363</v>
      </c>
      <c r="F84" s="220" t="s">
        <v>364</v>
      </c>
      <c r="G84" s="245">
        <f>SUM(N2:N7)</f>
        <v>18</v>
      </c>
      <c r="H84" s="137"/>
      <c r="I84" s="137"/>
      <c r="J84" s="194" t="s">
        <v>307</v>
      </c>
      <c r="K84" s="222"/>
      <c r="L84" s="223"/>
      <c r="O84" s="246"/>
      <c r="P84" s="246"/>
      <c r="W84" s="248"/>
      <c r="X84" s="248"/>
    </row>
    <row r="85" spans="2:25" s="226" customFormat="1" ht="14.25" x14ac:dyDescent="0.2">
      <c r="B85" s="199">
        <v>28</v>
      </c>
      <c r="C85" s="199" t="s">
        <v>1</v>
      </c>
      <c r="D85" s="200">
        <v>184911432</v>
      </c>
      <c r="E85" s="200" t="s">
        <v>126</v>
      </c>
      <c r="F85" s="249" t="s">
        <v>364</v>
      </c>
      <c r="G85" s="245">
        <f>SUM(O2:O7)</f>
        <v>3</v>
      </c>
      <c r="H85" s="137"/>
      <c r="I85" s="137"/>
      <c r="J85" s="194" t="s">
        <v>308</v>
      </c>
      <c r="K85" s="228"/>
      <c r="L85" s="223"/>
      <c r="Y85" s="224"/>
    </row>
    <row r="86" spans="2:25" s="185" customFormat="1" ht="24" x14ac:dyDescent="0.2">
      <c r="B86" s="133">
        <v>29</v>
      </c>
      <c r="C86" s="180" t="s">
        <v>0</v>
      </c>
      <c r="D86" s="153" t="s">
        <v>9</v>
      </c>
      <c r="E86" s="154" t="s">
        <v>50</v>
      </c>
      <c r="F86" s="155" t="s">
        <v>365</v>
      </c>
      <c r="G86" s="156">
        <f>SUM(N2:P7)*0.15</f>
        <v>3.15</v>
      </c>
      <c r="H86" s="158"/>
      <c r="I86" s="158"/>
      <c r="J86" s="159" t="s">
        <v>267</v>
      </c>
      <c r="K86" s="188"/>
      <c r="L86" s="183"/>
      <c r="O86" s="241"/>
      <c r="P86" s="241"/>
      <c r="W86" s="242"/>
      <c r="X86" s="242"/>
    </row>
    <row r="87" spans="2:25" x14ac:dyDescent="0.2">
      <c r="B87" s="133">
        <v>30</v>
      </c>
      <c r="C87" s="133" t="s">
        <v>1</v>
      </c>
      <c r="D87" s="134"/>
      <c r="E87" s="200" t="s">
        <v>366</v>
      </c>
      <c r="F87" s="135" t="s">
        <v>7</v>
      </c>
      <c r="G87" s="206">
        <f>1*25*2</f>
        <v>50</v>
      </c>
      <c r="H87" s="136"/>
      <c r="I87" s="136"/>
      <c r="J87" s="194" t="s">
        <v>253</v>
      </c>
      <c r="K87" s="163"/>
      <c r="L87" s="131"/>
      <c r="O87" s="141"/>
      <c r="P87" s="141"/>
      <c r="W87" s="143"/>
      <c r="X87" s="143"/>
    </row>
    <row r="88" spans="2:25" x14ac:dyDescent="0.2">
      <c r="B88" s="199">
        <v>31</v>
      </c>
      <c r="C88" s="133" t="s">
        <v>1</v>
      </c>
      <c r="D88" s="134">
        <v>184215412</v>
      </c>
      <c r="E88" s="134" t="s">
        <v>32</v>
      </c>
      <c r="F88" s="135" t="s">
        <v>10</v>
      </c>
      <c r="G88" s="206">
        <f>SUM(N2:N7)</f>
        <v>18</v>
      </c>
      <c r="H88" s="136"/>
      <c r="I88" s="136"/>
      <c r="J88" s="194" t="s">
        <v>212</v>
      </c>
      <c r="K88" s="139"/>
      <c r="L88" s="131"/>
      <c r="Q88" s="141"/>
      <c r="R88" s="141"/>
      <c r="S88" s="141"/>
      <c r="T88" s="141"/>
      <c r="W88" s="140"/>
      <c r="X88" s="140"/>
    </row>
    <row r="89" spans="2:25" s="226" customFormat="1" x14ac:dyDescent="0.2">
      <c r="B89" s="133">
        <v>32</v>
      </c>
      <c r="C89" s="199" t="s">
        <v>1</v>
      </c>
      <c r="D89" s="200">
        <v>184215422</v>
      </c>
      <c r="E89" s="200" t="s">
        <v>33</v>
      </c>
      <c r="F89" s="220" t="s">
        <v>10</v>
      </c>
      <c r="G89" s="221">
        <f>SUM(O2:O7)</f>
        <v>3</v>
      </c>
      <c r="H89" s="137"/>
      <c r="I89" s="137"/>
      <c r="J89" s="194" t="s">
        <v>212</v>
      </c>
      <c r="K89" s="222"/>
      <c r="L89" s="223"/>
      <c r="W89" s="224"/>
      <c r="X89" s="224"/>
    </row>
    <row r="90" spans="2:25" ht="14.25" x14ac:dyDescent="0.2">
      <c r="B90" s="133">
        <v>33</v>
      </c>
      <c r="C90" s="133" t="s">
        <v>1</v>
      </c>
      <c r="D90" s="134">
        <v>185804311</v>
      </c>
      <c r="E90" s="134" t="s">
        <v>204</v>
      </c>
      <c r="F90" s="135" t="s">
        <v>351</v>
      </c>
      <c r="G90" s="250">
        <f>SUM(N2:P6)*0.05</f>
        <v>1.05</v>
      </c>
      <c r="H90" s="136"/>
      <c r="I90" s="136"/>
      <c r="J90" s="194" t="s">
        <v>205</v>
      </c>
      <c r="K90" s="139"/>
      <c r="L90" s="131"/>
      <c r="Q90" s="240"/>
      <c r="R90" s="240"/>
      <c r="W90" s="131"/>
      <c r="X90" s="131"/>
    </row>
    <row r="91" spans="2:25" s="185" customFormat="1" ht="14.25" x14ac:dyDescent="0.2">
      <c r="B91" s="199">
        <v>34</v>
      </c>
      <c r="C91" s="180" t="s">
        <v>0</v>
      </c>
      <c r="D91" s="187" t="s">
        <v>9</v>
      </c>
      <c r="E91" s="154" t="s">
        <v>45</v>
      </c>
      <c r="F91" s="155" t="s">
        <v>365</v>
      </c>
      <c r="G91" s="251">
        <f>SUM(N2:P6)*0.05</f>
        <v>1.05</v>
      </c>
      <c r="H91" s="158"/>
      <c r="I91" s="158"/>
      <c r="J91" s="159" t="s">
        <v>205</v>
      </c>
      <c r="K91" s="188"/>
      <c r="L91" s="183"/>
      <c r="N91" s="189"/>
      <c r="W91" s="186"/>
      <c r="X91" s="186"/>
    </row>
    <row r="92" spans="2:25" ht="14.25" x14ac:dyDescent="0.2">
      <c r="B92" s="133">
        <v>35</v>
      </c>
      <c r="C92" s="133" t="s">
        <v>1</v>
      </c>
      <c r="D92" s="134">
        <v>185851121</v>
      </c>
      <c r="E92" s="134" t="s">
        <v>203</v>
      </c>
      <c r="F92" s="135" t="s">
        <v>351</v>
      </c>
      <c r="G92" s="250">
        <f>SUM(N2:P6)*0.05</f>
        <v>1.05</v>
      </c>
      <c r="H92" s="136"/>
      <c r="I92" s="136"/>
      <c r="J92" s="138" t="s">
        <v>122</v>
      </c>
      <c r="K92" s="139"/>
      <c r="L92" s="131"/>
      <c r="W92" s="131"/>
      <c r="X92" s="131"/>
    </row>
    <row r="93" spans="2:25" ht="14.25" x14ac:dyDescent="0.2">
      <c r="B93" s="133">
        <v>36</v>
      </c>
      <c r="C93" s="133" t="s">
        <v>1</v>
      </c>
      <c r="D93" s="134">
        <v>185851129</v>
      </c>
      <c r="E93" s="134" t="s">
        <v>34</v>
      </c>
      <c r="F93" s="135" t="s">
        <v>351</v>
      </c>
      <c r="G93" s="252">
        <f>SUM(N2:P6)*0.05*10*2</f>
        <v>21</v>
      </c>
      <c r="H93" s="136"/>
      <c r="I93" s="136"/>
      <c r="J93" s="138" t="s">
        <v>292</v>
      </c>
      <c r="K93" s="176"/>
      <c r="L93" s="139"/>
      <c r="W93" s="99"/>
      <c r="X93" s="131"/>
      <c r="Y93" s="131"/>
    </row>
    <row r="94" spans="2:25" s="240" customFormat="1" x14ac:dyDescent="0.2">
      <c r="B94" s="199">
        <v>37</v>
      </c>
      <c r="C94" s="133" t="s">
        <v>1</v>
      </c>
      <c r="D94" s="134">
        <v>184806111</v>
      </c>
      <c r="E94" s="134" t="s">
        <v>35</v>
      </c>
      <c r="F94" s="135" t="s">
        <v>10</v>
      </c>
      <c r="G94" s="206">
        <f>SUM(N2:P5,N7:P7)</f>
        <v>18</v>
      </c>
      <c r="H94" s="136"/>
      <c r="I94" s="136"/>
      <c r="J94" s="194" t="s">
        <v>213</v>
      </c>
      <c r="K94" s="253"/>
      <c r="L94" s="131"/>
      <c r="O94" s="254"/>
      <c r="Q94" s="99"/>
      <c r="R94" s="99"/>
      <c r="S94" s="140"/>
      <c r="T94" s="140"/>
      <c r="Y94" s="234"/>
    </row>
    <row r="95" spans="2:25" ht="24" x14ac:dyDescent="0.2">
      <c r="B95" s="133">
        <v>38</v>
      </c>
      <c r="C95" s="133" t="s">
        <v>1</v>
      </c>
      <c r="D95" s="134"/>
      <c r="E95" s="200" t="s">
        <v>367</v>
      </c>
      <c r="F95" s="135" t="s">
        <v>7</v>
      </c>
      <c r="G95" s="206">
        <f>1*25*2</f>
        <v>50</v>
      </c>
      <c r="H95" s="136"/>
      <c r="I95" s="136"/>
      <c r="J95" s="194" t="s">
        <v>123</v>
      </c>
      <c r="K95" s="163"/>
      <c r="L95" s="131"/>
      <c r="S95" s="140"/>
      <c r="T95" s="140"/>
      <c r="W95" s="99"/>
      <c r="X95" s="99"/>
    </row>
    <row r="96" spans="2:25" ht="24" x14ac:dyDescent="0.2">
      <c r="B96" s="133">
        <v>39</v>
      </c>
      <c r="C96" s="133" t="s">
        <v>1</v>
      </c>
      <c r="D96" s="134">
        <v>469973127</v>
      </c>
      <c r="E96" s="134" t="s">
        <v>225</v>
      </c>
      <c r="F96" s="135" t="s">
        <v>6</v>
      </c>
      <c r="G96" s="177">
        <f>1*0.5</f>
        <v>0.5</v>
      </c>
      <c r="H96" s="136"/>
      <c r="I96" s="136"/>
      <c r="J96" s="194" t="s">
        <v>22</v>
      </c>
      <c r="K96" s="163"/>
      <c r="L96" s="131"/>
      <c r="W96" s="99"/>
      <c r="X96" s="99"/>
      <c r="Y96" s="140"/>
    </row>
    <row r="97" spans="2:24" s="185" customFormat="1" x14ac:dyDescent="0.2">
      <c r="B97" s="199">
        <v>40</v>
      </c>
      <c r="C97" s="180"/>
      <c r="D97" s="187"/>
      <c r="E97" s="155" t="s">
        <v>77</v>
      </c>
      <c r="F97" s="155" t="s">
        <v>10</v>
      </c>
      <c r="G97" s="231">
        <f>SUM(G98:G112)</f>
        <v>18</v>
      </c>
      <c r="H97" s="158"/>
      <c r="I97" s="158"/>
      <c r="J97" s="159"/>
      <c r="K97" s="188"/>
      <c r="L97" s="183"/>
      <c r="W97" s="186"/>
      <c r="X97" s="186"/>
    </row>
    <row r="98" spans="2:24" s="185" customFormat="1" x14ac:dyDescent="0.2">
      <c r="B98" s="133">
        <v>41</v>
      </c>
      <c r="C98" s="180" t="s">
        <v>0</v>
      </c>
      <c r="D98" s="187" t="s">
        <v>9</v>
      </c>
      <c r="E98" s="154" t="s">
        <v>132</v>
      </c>
      <c r="F98" s="155" t="s">
        <v>10</v>
      </c>
      <c r="G98" s="231">
        <v>2</v>
      </c>
      <c r="H98" s="158"/>
      <c r="I98" s="158"/>
      <c r="J98" s="159" t="s">
        <v>214</v>
      </c>
      <c r="K98" s="188"/>
      <c r="L98" s="183"/>
      <c r="W98" s="186"/>
      <c r="X98" s="186"/>
    </row>
    <row r="99" spans="2:24" s="185" customFormat="1" x14ac:dyDescent="0.2">
      <c r="B99" s="133">
        <v>42</v>
      </c>
      <c r="C99" s="180" t="s">
        <v>0</v>
      </c>
      <c r="D99" s="187" t="s">
        <v>9</v>
      </c>
      <c r="E99" s="154" t="s">
        <v>133</v>
      </c>
      <c r="F99" s="155" t="s">
        <v>10</v>
      </c>
      <c r="G99" s="231">
        <v>1</v>
      </c>
      <c r="H99" s="158"/>
      <c r="I99" s="158"/>
      <c r="J99" s="159" t="s">
        <v>214</v>
      </c>
      <c r="K99" s="188"/>
      <c r="L99" s="183"/>
      <c r="W99" s="186"/>
      <c r="X99" s="186"/>
    </row>
    <row r="100" spans="2:24" s="185" customFormat="1" x14ac:dyDescent="0.2">
      <c r="B100" s="199">
        <v>43</v>
      </c>
      <c r="C100" s="180" t="s">
        <v>0</v>
      </c>
      <c r="D100" s="187" t="s">
        <v>9</v>
      </c>
      <c r="E100" s="154" t="s">
        <v>193</v>
      </c>
      <c r="F100" s="155" t="s">
        <v>10</v>
      </c>
      <c r="G100" s="231">
        <v>1</v>
      </c>
      <c r="H100" s="158"/>
      <c r="I100" s="158"/>
      <c r="J100" s="159" t="s">
        <v>214</v>
      </c>
      <c r="K100" s="188"/>
      <c r="L100" s="183"/>
      <c r="W100" s="186"/>
      <c r="X100" s="186"/>
    </row>
    <row r="101" spans="2:24" s="185" customFormat="1" x14ac:dyDescent="0.2">
      <c r="B101" s="133">
        <v>44</v>
      </c>
      <c r="C101" s="180" t="s">
        <v>0</v>
      </c>
      <c r="D101" s="187" t="s">
        <v>9</v>
      </c>
      <c r="E101" s="154" t="s">
        <v>134</v>
      </c>
      <c r="F101" s="155" t="s">
        <v>10</v>
      </c>
      <c r="G101" s="231">
        <v>2</v>
      </c>
      <c r="H101" s="158"/>
      <c r="I101" s="158"/>
      <c r="J101" s="159" t="s">
        <v>214</v>
      </c>
      <c r="K101" s="188"/>
      <c r="L101" s="183"/>
      <c r="W101" s="186"/>
      <c r="X101" s="186"/>
    </row>
    <row r="102" spans="2:24" s="185" customFormat="1" x14ac:dyDescent="0.2">
      <c r="B102" s="133">
        <v>45</v>
      </c>
      <c r="C102" s="180" t="s">
        <v>0</v>
      </c>
      <c r="D102" s="187" t="s">
        <v>9</v>
      </c>
      <c r="E102" s="154" t="s">
        <v>135</v>
      </c>
      <c r="F102" s="155" t="s">
        <v>10</v>
      </c>
      <c r="G102" s="231">
        <v>1</v>
      </c>
      <c r="H102" s="158"/>
      <c r="I102" s="158"/>
      <c r="J102" s="159" t="s">
        <v>214</v>
      </c>
      <c r="K102" s="188"/>
      <c r="L102" s="183"/>
      <c r="W102" s="186"/>
      <c r="X102" s="186"/>
    </row>
    <row r="103" spans="2:24" s="185" customFormat="1" x14ac:dyDescent="0.2">
      <c r="B103" s="199">
        <v>46</v>
      </c>
      <c r="C103" s="180" t="s">
        <v>0</v>
      </c>
      <c r="D103" s="187" t="s">
        <v>9</v>
      </c>
      <c r="E103" s="154" t="s">
        <v>136</v>
      </c>
      <c r="F103" s="155" t="s">
        <v>10</v>
      </c>
      <c r="G103" s="231">
        <v>1</v>
      </c>
      <c r="H103" s="158"/>
      <c r="I103" s="158"/>
      <c r="J103" s="159" t="s">
        <v>214</v>
      </c>
      <c r="K103" s="188"/>
      <c r="L103" s="183"/>
      <c r="W103" s="186"/>
      <c r="X103" s="186"/>
    </row>
    <row r="104" spans="2:24" s="185" customFormat="1" x14ac:dyDescent="0.2">
      <c r="B104" s="133">
        <v>47</v>
      </c>
      <c r="C104" s="180" t="s">
        <v>0</v>
      </c>
      <c r="D104" s="187" t="s">
        <v>9</v>
      </c>
      <c r="E104" s="154" t="s">
        <v>137</v>
      </c>
      <c r="F104" s="155" t="s">
        <v>10</v>
      </c>
      <c r="G104" s="231">
        <v>1</v>
      </c>
      <c r="H104" s="158"/>
      <c r="I104" s="158"/>
      <c r="J104" s="159" t="s">
        <v>214</v>
      </c>
      <c r="K104" s="188"/>
      <c r="L104" s="183"/>
      <c r="W104" s="186"/>
      <c r="X104" s="186"/>
    </row>
    <row r="105" spans="2:24" s="185" customFormat="1" x14ac:dyDescent="0.2">
      <c r="B105" s="133">
        <v>48</v>
      </c>
      <c r="C105" s="180" t="s">
        <v>0</v>
      </c>
      <c r="D105" s="187" t="s">
        <v>9</v>
      </c>
      <c r="E105" s="154" t="s">
        <v>138</v>
      </c>
      <c r="F105" s="155" t="s">
        <v>10</v>
      </c>
      <c r="G105" s="231">
        <v>1</v>
      </c>
      <c r="H105" s="158"/>
      <c r="I105" s="158"/>
      <c r="J105" s="159" t="s">
        <v>214</v>
      </c>
      <c r="K105" s="188"/>
      <c r="L105" s="183"/>
      <c r="W105" s="186"/>
      <c r="X105" s="186"/>
    </row>
    <row r="106" spans="2:24" s="185" customFormat="1" x14ac:dyDescent="0.2">
      <c r="B106" s="199">
        <v>49</v>
      </c>
      <c r="C106" s="180" t="s">
        <v>0</v>
      </c>
      <c r="D106" s="187" t="s">
        <v>9</v>
      </c>
      <c r="E106" s="154" t="s">
        <v>139</v>
      </c>
      <c r="F106" s="155" t="s">
        <v>10</v>
      </c>
      <c r="G106" s="231">
        <v>2</v>
      </c>
      <c r="H106" s="158"/>
      <c r="I106" s="158"/>
      <c r="J106" s="159" t="s">
        <v>214</v>
      </c>
      <c r="K106" s="188"/>
      <c r="L106" s="183"/>
      <c r="W106" s="186"/>
      <c r="X106" s="186"/>
    </row>
    <row r="107" spans="2:24" s="185" customFormat="1" x14ac:dyDescent="0.2">
      <c r="B107" s="133">
        <v>50</v>
      </c>
      <c r="C107" s="180" t="s">
        <v>0</v>
      </c>
      <c r="D107" s="187" t="s">
        <v>9</v>
      </c>
      <c r="E107" s="154" t="s">
        <v>140</v>
      </c>
      <c r="F107" s="155" t="s">
        <v>10</v>
      </c>
      <c r="G107" s="231">
        <v>1</v>
      </c>
      <c r="H107" s="158"/>
      <c r="I107" s="158"/>
      <c r="J107" s="159" t="s">
        <v>214</v>
      </c>
      <c r="K107" s="188"/>
      <c r="L107" s="183"/>
      <c r="W107" s="186"/>
      <c r="X107" s="186"/>
    </row>
    <row r="108" spans="2:24" s="185" customFormat="1" x14ac:dyDescent="0.2">
      <c r="B108" s="133">
        <v>51</v>
      </c>
      <c r="C108" s="180" t="s">
        <v>0</v>
      </c>
      <c r="D108" s="187" t="s">
        <v>9</v>
      </c>
      <c r="E108" s="154" t="s">
        <v>141</v>
      </c>
      <c r="F108" s="155" t="s">
        <v>10</v>
      </c>
      <c r="G108" s="231">
        <v>1</v>
      </c>
      <c r="H108" s="158"/>
      <c r="I108" s="158"/>
      <c r="J108" s="159" t="s">
        <v>214</v>
      </c>
      <c r="K108" s="188"/>
      <c r="L108" s="183"/>
      <c r="W108" s="186"/>
      <c r="X108" s="186"/>
    </row>
    <row r="109" spans="2:24" s="185" customFormat="1" x14ac:dyDescent="0.2">
      <c r="B109" s="199">
        <v>52</v>
      </c>
      <c r="C109" s="180" t="s">
        <v>0</v>
      </c>
      <c r="D109" s="187" t="s">
        <v>9</v>
      </c>
      <c r="E109" s="154" t="s">
        <v>142</v>
      </c>
      <c r="F109" s="155" t="s">
        <v>10</v>
      </c>
      <c r="G109" s="231">
        <v>1</v>
      </c>
      <c r="H109" s="158"/>
      <c r="I109" s="158"/>
      <c r="J109" s="159" t="s">
        <v>214</v>
      </c>
      <c r="K109" s="188"/>
      <c r="L109" s="183"/>
      <c r="W109" s="186"/>
      <c r="X109" s="186"/>
    </row>
    <row r="110" spans="2:24" s="185" customFormat="1" x14ac:dyDescent="0.2">
      <c r="B110" s="133">
        <v>53</v>
      </c>
      <c r="C110" s="180" t="s">
        <v>0</v>
      </c>
      <c r="D110" s="187" t="s">
        <v>9</v>
      </c>
      <c r="E110" s="154" t="s">
        <v>143</v>
      </c>
      <c r="F110" s="155" t="s">
        <v>10</v>
      </c>
      <c r="G110" s="231">
        <v>1</v>
      </c>
      <c r="H110" s="158"/>
      <c r="I110" s="158"/>
      <c r="J110" s="159" t="s">
        <v>214</v>
      </c>
      <c r="K110" s="188"/>
      <c r="L110" s="183"/>
      <c r="W110" s="186"/>
      <c r="X110" s="186"/>
    </row>
    <row r="111" spans="2:24" s="185" customFormat="1" x14ac:dyDescent="0.2">
      <c r="B111" s="133">
        <v>54</v>
      </c>
      <c r="C111" s="180" t="s">
        <v>0</v>
      </c>
      <c r="D111" s="187" t="s">
        <v>9</v>
      </c>
      <c r="E111" s="154" t="s">
        <v>190</v>
      </c>
      <c r="F111" s="155" t="s">
        <v>10</v>
      </c>
      <c r="G111" s="231">
        <v>1</v>
      </c>
      <c r="H111" s="158"/>
      <c r="I111" s="158"/>
      <c r="J111" s="159" t="s">
        <v>214</v>
      </c>
      <c r="K111" s="188"/>
      <c r="L111" s="183"/>
      <c r="W111" s="186"/>
      <c r="X111" s="186"/>
    </row>
    <row r="112" spans="2:24" s="185" customFormat="1" x14ac:dyDescent="0.2">
      <c r="B112" s="199">
        <v>55</v>
      </c>
      <c r="C112" s="180" t="s">
        <v>0</v>
      </c>
      <c r="D112" s="187" t="s">
        <v>9</v>
      </c>
      <c r="E112" s="154" t="s">
        <v>144</v>
      </c>
      <c r="F112" s="155" t="s">
        <v>10</v>
      </c>
      <c r="G112" s="231">
        <v>1</v>
      </c>
      <c r="H112" s="158"/>
      <c r="I112" s="158"/>
      <c r="J112" s="159" t="s">
        <v>214</v>
      </c>
      <c r="K112" s="188"/>
      <c r="L112" s="183"/>
      <c r="W112" s="186"/>
      <c r="X112" s="186"/>
    </row>
    <row r="113" spans="2:25" s="185" customFormat="1" x14ac:dyDescent="0.2">
      <c r="B113" s="133">
        <v>56</v>
      </c>
      <c r="C113" s="255"/>
      <c r="D113" s="154"/>
      <c r="E113" s="155" t="s">
        <v>78</v>
      </c>
      <c r="F113" s="155" t="s">
        <v>10</v>
      </c>
      <c r="G113" s="231">
        <f>SUM(G114)</f>
        <v>3</v>
      </c>
      <c r="H113" s="256"/>
      <c r="I113" s="158"/>
      <c r="J113" s="159"/>
      <c r="K113" s="182"/>
      <c r="L113" s="183"/>
      <c r="W113" s="186"/>
      <c r="X113" s="186"/>
    </row>
    <row r="114" spans="2:25" s="185" customFormat="1" x14ac:dyDescent="0.2">
      <c r="B114" s="133">
        <v>57</v>
      </c>
      <c r="C114" s="180" t="s">
        <v>0</v>
      </c>
      <c r="D114" s="187" t="s">
        <v>9</v>
      </c>
      <c r="E114" s="154" t="s">
        <v>145</v>
      </c>
      <c r="F114" s="155" t="s">
        <v>10</v>
      </c>
      <c r="G114" s="231">
        <v>3</v>
      </c>
      <c r="H114" s="158"/>
      <c r="I114" s="158"/>
      <c r="J114" s="159" t="s">
        <v>214</v>
      </c>
      <c r="K114" s="188"/>
      <c r="L114" s="183"/>
      <c r="W114" s="186"/>
      <c r="X114" s="186"/>
    </row>
    <row r="115" spans="2:25" s="191" customFormat="1" collapsed="1" x14ac:dyDescent="0.2">
      <c r="B115" s="199">
        <v>58</v>
      </c>
      <c r="C115" s="133" t="s">
        <v>1</v>
      </c>
      <c r="D115" s="134"/>
      <c r="E115" s="134" t="s">
        <v>297</v>
      </c>
      <c r="F115" s="135" t="s">
        <v>312</v>
      </c>
      <c r="G115" s="206">
        <v>1</v>
      </c>
      <c r="H115" s="136"/>
      <c r="I115" s="136"/>
      <c r="J115" s="194" t="s">
        <v>254</v>
      </c>
      <c r="K115" s="257"/>
      <c r="L115" s="131"/>
      <c r="N115" s="258"/>
      <c r="W115" s="192"/>
      <c r="X115" s="192"/>
    </row>
    <row r="116" spans="2:25" s="191" customFormat="1" x14ac:dyDescent="0.2">
      <c r="B116" s="133">
        <v>59</v>
      </c>
      <c r="C116" s="133" t="s">
        <v>1</v>
      </c>
      <c r="D116" s="134">
        <v>119005153</v>
      </c>
      <c r="E116" s="134" t="s">
        <v>200</v>
      </c>
      <c r="F116" s="135" t="s">
        <v>10</v>
      </c>
      <c r="G116" s="221">
        <f>SUM(N2:P7)</f>
        <v>21</v>
      </c>
      <c r="H116" s="137"/>
      <c r="I116" s="136"/>
      <c r="J116" s="259"/>
      <c r="K116" s="260"/>
      <c r="L116" s="131"/>
      <c r="O116" s="258"/>
      <c r="Q116" s="88"/>
      <c r="R116" s="88"/>
      <c r="S116" s="88"/>
      <c r="T116" s="88"/>
      <c r="Y116" s="192"/>
    </row>
    <row r="117" spans="2:25" s="88" customFormat="1" x14ac:dyDescent="0.2">
      <c r="B117" s="166"/>
      <c r="C117" s="166"/>
      <c r="E117" s="79"/>
      <c r="F117" s="167"/>
      <c r="H117" s="261" t="s">
        <v>74</v>
      </c>
      <c r="I117" s="218">
        <f>SUM(I66:I116)</f>
        <v>0</v>
      </c>
      <c r="J117" s="170" t="s">
        <v>75</v>
      </c>
      <c r="K117" s="171"/>
      <c r="L117" s="172"/>
      <c r="O117" s="98"/>
      <c r="P117" s="98"/>
      <c r="Q117" s="98"/>
      <c r="R117" s="98"/>
      <c r="S117" s="98"/>
      <c r="T117" s="98"/>
      <c r="W117" s="173"/>
      <c r="X117" s="173"/>
    </row>
    <row r="118" spans="2:25" x14ac:dyDescent="0.2">
      <c r="B118" s="205" t="s">
        <v>73</v>
      </c>
      <c r="C118" s="125"/>
      <c r="D118" s="79"/>
      <c r="E118" s="79"/>
      <c r="F118" s="126"/>
      <c r="G118" s="127"/>
      <c r="H118" s="128"/>
      <c r="I118" s="128"/>
      <c r="J118" s="129"/>
      <c r="K118" s="130"/>
      <c r="L118" s="131"/>
      <c r="M118" s="132"/>
      <c r="N118" s="98"/>
      <c r="O118" s="98"/>
      <c r="P118" s="98"/>
      <c r="W118" s="131"/>
      <c r="X118" s="131"/>
    </row>
    <row r="119" spans="2:25" ht="24" x14ac:dyDescent="0.2">
      <c r="B119" s="133">
        <v>60</v>
      </c>
      <c r="C119" s="133" t="s">
        <v>1</v>
      </c>
      <c r="D119" s="134">
        <v>184813511</v>
      </c>
      <c r="E119" s="134" t="s">
        <v>258</v>
      </c>
      <c r="F119" s="178" t="s">
        <v>354</v>
      </c>
      <c r="G119" s="179">
        <f>SUM(R2)</f>
        <v>450</v>
      </c>
      <c r="H119" s="136"/>
      <c r="I119" s="136"/>
      <c r="J119" s="194" t="s">
        <v>218</v>
      </c>
      <c r="K119" s="139"/>
      <c r="L119" s="131"/>
      <c r="N119" s="142"/>
      <c r="O119" s="141"/>
      <c r="P119" s="141"/>
      <c r="Q119" s="141"/>
      <c r="R119" s="141"/>
      <c r="S119" s="141"/>
      <c r="T119" s="141"/>
      <c r="W119" s="143"/>
      <c r="X119" s="143"/>
    </row>
    <row r="120" spans="2:25" s="226" customFormat="1" ht="24" x14ac:dyDescent="0.2">
      <c r="B120" s="199">
        <v>61</v>
      </c>
      <c r="C120" s="199" t="s">
        <v>1</v>
      </c>
      <c r="D120" s="200">
        <v>184813512</v>
      </c>
      <c r="E120" s="200" t="s">
        <v>266</v>
      </c>
      <c r="F120" s="249" t="s">
        <v>364</v>
      </c>
      <c r="G120" s="262">
        <f>SUM(S2)</f>
        <v>160</v>
      </c>
      <c r="H120" s="137"/>
      <c r="I120" s="137"/>
      <c r="J120" s="194" t="s">
        <v>219</v>
      </c>
      <c r="K120" s="222"/>
      <c r="L120" s="223"/>
      <c r="N120" s="263"/>
      <c r="W120" s="224"/>
      <c r="X120" s="224"/>
    </row>
    <row r="121" spans="2:25" s="185" customFormat="1" x14ac:dyDescent="0.2">
      <c r="B121" s="133">
        <v>62</v>
      </c>
      <c r="C121" s="180" t="s">
        <v>0</v>
      </c>
      <c r="D121" s="153">
        <v>25234001</v>
      </c>
      <c r="E121" s="154" t="s">
        <v>48</v>
      </c>
      <c r="F121" s="155" t="s">
        <v>4</v>
      </c>
      <c r="G121" s="181">
        <f>SUM(R2:T2)*0.0005</f>
        <v>0.30499999999999999</v>
      </c>
      <c r="H121" s="158"/>
      <c r="I121" s="158"/>
      <c r="J121" s="159" t="s">
        <v>260</v>
      </c>
      <c r="K121" s="182"/>
      <c r="L121" s="183"/>
      <c r="W121" s="186"/>
      <c r="X121" s="186"/>
    </row>
    <row r="122" spans="2:25" s="185" customFormat="1" x14ac:dyDescent="0.2">
      <c r="B122" s="199">
        <v>63</v>
      </c>
      <c r="C122" s="180" t="s">
        <v>0</v>
      </c>
      <c r="D122" s="187" t="s">
        <v>9</v>
      </c>
      <c r="E122" s="154" t="s">
        <v>261</v>
      </c>
      <c r="F122" s="155" t="s">
        <v>3</v>
      </c>
      <c r="G122" s="181">
        <f>SUM(R2:T2)*0.00002</f>
        <v>1.2200000000000001E-2</v>
      </c>
      <c r="H122" s="158"/>
      <c r="I122" s="158"/>
      <c r="J122" s="159" t="s">
        <v>262</v>
      </c>
      <c r="K122" s="188"/>
      <c r="L122" s="183"/>
      <c r="N122" s="189"/>
      <c r="W122" s="183"/>
      <c r="X122" s="183"/>
    </row>
    <row r="123" spans="2:25" ht="14.25" x14ac:dyDescent="0.2">
      <c r="B123" s="133">
        <v>64</v>
      </c>
      <c r="C123" s="133" t="s">
        <v>1</v>
      </c>
      <c r="D123" s="134">
        <v>183403114</v>
      </c>
      <c r="E123" s="134" t="s">
        <v>356</v>
      </c>
      <c r="F123" s="135" t="s">
        <v>354</v>
      </c>
      <c r="G123" s="179">
        <f>SUM(R2)</f>
        <v>450</v>
      </c>
      <c r="H123" s="136"/>
      <c r="I123" s="136"/>
      <c r="J123" s="138" t="s">
        <v>230</v>
      </c>
      <c r="K123" s="190"/>
      <c r="L123" s="131"/>
      <c r="O123" s="191"/>
      <c r="P123" s="191"/>
      <c r="S123" s="191"/>
      <c r="T123" s="191"/>
      <c r="W123" s="192"/>
      <c r="X123" s="192"/>
    </row>
    <row r="124" spans="2:25" ht="14.25" x14ac:dyDescent="0.2">
      <c r="B124" s="199">
        <v>65</v>
      </c>
      <c r="C124" s="133" t="s">
        <v>1</v>
      </c>
      <c r="D124" s="134">
        <v>183403115</v>
      </c>
      <c r="E124" s="134" t="s">
        <v>231</v>
      </c>
      <c r="F124" s="135" t="s">
        <v>354</v>
      </c>
      <c r="G124" s="179">
        <f>SUM(S2)</f>
        <v>160</v>
      </c>
      <c r="H124" s="136"/>
      <c r="I124" s="136"/>
      <c r="J124" s="138" t="s">
        <v>230</v>
      </c>
      <c r="K124" s="190"/>
      <c r="L124" s="131"/>
      <c r="O124" s="191"/>
      <c r="P124" s="191"/>
      <c r="S124" s="191"/>
      <c r="T124" s="191"/>
      <c r="W124" s="192"/>
      <c r="X124" s="192"/>
    </row>
    <row r="125" spans="2:25" ht="14.25" x14ac:dyDescent="0.2">
      <c r="B125" s="133">
        <v>66</v>
      </c>
      <c r="C125" s="133" t="s">
        <v>1</v>
      </c>
      <c r="D125" s="134">
        <v>183205111</v>
      </c>
      <c r="E125" s="134" t="s">
        <v>368</v>
      </c>
      <c r="F125" s="135" t="s">
        <v>354</v>
      </c>
      <c r="G125" s="177">
        <f>SUM(R2)</f>
        <v>450</v>
      </c>
      <c r="H125" s="136"/>
      <c r="I125" s="136"/>
      <c r="J125" s="194" t="s">
        <v>218</v>
      </c>
      <c r="K125" s="139"/>
      <c r="L125" s="131"/>
      <c r="Q125" s="141"/>
      <c r="R125" s="141"/>
      <c r="S125" s="141"/>
      <c r="T125" s="141"/>
      <c r="W125" s="140"/>
      <c r="X125" s="140"/>
    </row>
    <row r="126" spans="2:25" s="226" customFormat="1" ht="14.25" x14ac:dyDescent="0.2">
      <c r="B126" s="199">
        <v>67</v>
      </c>
      <c r="C126" s="199" t="s">
        <v>1</v>
      </c>
      <c r="D126" s="200">
        <v>183205131</v>
      </c>
      <c r="E126" s="200" t="s">
        <v>369</v>
      </c>
      <c r="F126" s="220" t="s">
        <v>364</v>
      </c>
      <c r="G126" s="245">
        <f>SUM(S2:T2)</f>
        <v>160</v>
      </c>
      <c r="H126" s="137"/>
      <c r="I126" s="137"/>
      <c r="J126" s="194" t="s">
        <v>219</v>
      </c>
      <c r="K126" s="222"/>
      <c r="L126" s="223"/>
      <c r="Q126" s="264"/>
      <c r="R126" s="265"/>
      <c r="S126" s="265"/>
      <c r="T126" s="265"/>
      <c r="W126" s="224"/>
      <c r="X126" s="224"/>
    </row>
    <row r="127" spans="2:25" ht="24" x14ac:dyDescent="0.2">
      <c r="B127" s="133">
        <v>68</v>
      </c>
      <c r="C127" s="133" t="s">
        <v>1</v>
      </c>
      <c r="D127" s="134">
        <v>183101113</v>
      </c>
      <c r="E127" s="134" t="s">
        <v>217</v>
      </c>
      <c r="F127" s="135" t="s">
        <v>10</v>
      </c>
      <c r="G127" s="206">
        <f>SUM(R4)</f>
        <v>588</v>
      </c>
      <c r="H127" s="136"/>
      <c r="I127" s="136"/>
      <c r="J127" s="194" t="s">
        <v>218</v>
      </c>
      <c r="K127" s="139"/>
      <c r="L127" s="131"/>
      <c r="O127" s="141"/>
      <c r="P127" s="141"/>
      <c r="S127" s="141"/>
      <c r="T127" s="141"/>
      <c r="W127" s="143"/>
      <c r="X127" s="143"/>
    </row>
    <row r="128" spans="2:25" s="226" customFormat="1" x14ac:dyDescent="0.2">
      <c r="B128" s="199">
        <v>69</v>
      </c>
      <c r="C128" s="199" t="s">
        <v>1</v>
      </c>
      <c r="D128" s="200">
        <v>183102133</v>
      </c>
      <c r="E128" s="200" t="s">
        <v>216</v>
      </c>
      <c r="F128" s="220" t="s">
        <v>10</v>
      </c>
      <c r="G128" s="221">
        <f>SUM(S4)</f>
        <v>240</v>
      </c>
      <c r="H128" s="137"/>
      <c r="I128" s="137"/>
      <c r="J128" s="194" t="s">
        <v>219</v>
      </c>
      <c r="K128" s="228"/>
      <c r="L128" s="223"/>
      <c r="Y128" s="224"/>
    </row>
    <row r="129" spans="1:25" ht="36" x14ac:dyDescent="0.2">
      <c r="B129" s="133">
        <v>70</v>
      </c>
      <c r="C129" s="133" t="s">
        <v>1</v>
      </c>
      <c r="D129" s="134">
        <v>122251104</v>
      </c>
      <c r="E129" s="134" t="s">
        <v>116</v>
      </c>
      <c r="F129" s="135" t="s">
        <v>351</v>
      </c>
      <c r="G129" s="136">
        <f>40*0.2</f>
        <v>8</v>
      </c>
      <c r="H129" s="137"/>
      <c r="I129" s="136"/>
      <c r="J129" s="138" t="s">
        <v>250</v>
      </c>
      <c r="K129" s="139"/>
      <c r="L129" s="131"/>
      <c r="N129" s="142"/>
      <c r="O129" s="141"/>
      <c r="P129" s="141"/>
      <c r="Q129" s="141"/>
      <c r="R129" s="141"/>
      <c r="S129" s="141"/>
      <c r="T129" s="141"/>
      <c r="W129" s="143"/>
      <c r="X129" s="143"/>
    </row>
    <row r="130" spans="1:25" ht="24" x14ac:dyDescent="0.2">
      <c r="B130" s="199">
        <v>71</v>
      </c>
      <c r="C130" s="133" t="s">
        <v>1</v>
      </c>
      <c r="D130" s="134">
        <v>174251101</v>
      </c>
      <c r="E130" s="134" t="s">
        <v>110</v>
      </c>
      <c r="F130" s="135" t="s">
        <v>351</v>
      </c>
      <c r="G130" s="136">
        <f>SUM(G129)</f>
        <v>8</v>
      </c>
      <c r="H130" s="137"/>
      <c r="I130" s="136"/>
      <c r="J130" s="138" t="s">
        <v>251</v>
      </c>
      <c r="K130" s="139"/>
      <c r="L130" s="131"/>
      <c r="N130" s="142"/>
      <c r="O130" s="141"/>
      <c r="P130" s="141"/>
      <c r="Q130" s="141"/>
      <c r="R130" s="141"/>
      <c r="S130" s="141"/>
      <c r="T130" s="141"/>
      <c r="W130" s="143"/>
      <c r="X130" s="143"/>
    </row>
    <row r="131" spans="1:25" s="185" customFormat="1" ht="14.25" x14ac:dyDescent="0.2">
      <c r="B131" s="133">
        <v>72</v>
      </c>
      <c r="C131" s="180" t="s">
        <v>0</v>
      </c>
      <c r="D131" s="187"/>
      <c r="E131" s="154" t="s">
        <v>311</v>
      </c>
      <c r="F131" s="155" t="s">
        <v>351</v>
      </c>
      <c r="G131" s="156">
        <f>SUM(G129)</f>
        <v>8</v>
      </c>
      <c r="H131" s="158"/>
      <c r="I131" s="158"/>
      <c r="J131" s="159" t="s">
        <v>252</v>
      </c>
      <c r="K131" s="182"/>
      <c r="L131" s="183"/>
      <c r="W131" s="186"/>
      <c r="X131" s="186"/>
    </row>
    <row r="132" spans="1:25" x14ac:dyDescent="0.2">
      <c r="B132" s="199">
        <v>73</v>
      </c>
      <c r="C132" s="133" t="s">
        <v>1</v>
      </c>
      <c r="D132" s="134"/>
      <c r="E132" s="200" t="s">
        <v>370</v>
      </c>
      <c r="F132" s="135" t="s">
        <v>7</v>
      </c>
      <c r="G132" s="206">
        <f>1*25*2</f>
        <v>50</v>
      </c>
      <c r="H132" s="136"/>
      <c r="I132" s="136"/>
      <c r="J132" s="194" t="s">
        <v>253</v>
      </c>
      <c r="K132" s="163"/>
      <c r="L132" s="131"/>
      <c r="O132" s="141"/>
      <c r="P132" s="141"/>
      <c r="W132" s="143"/>
      <c r="X132" s="143"/>
    </row>
    <row r="133" spans="1:25" x14ac:dyDescent="0.2">
      <c r="B133" s="133">
        <v>74</v>
      </c>
      <c r="C133" s="133" t="s">
        <v>1</v>
      </c>
      <c r="D133" s="134">
        <v>184102111</v>
      </c>
      <c r="E133" s="134" t="s">
        <v>371</v>
      </c>
      <c r="F133" s="135" t="s">
        <v>10</v>
      </c>
      <c r="G133" s="206">
        <f>SUM(R4)</f>
        <v>588</v>
      </c>
      <c r="H133" s="136"/>
      <c r="I133" s="136"/>
      <c r="J133" s="194" t="s">
        <v>218</v>
      </c>
      <c r="K133" s="139"/>
      <c r="L133" s="131"/>
      <c r="W133" s="140"/>
      <c r="X133" s="140"/>
    </row>
    <row r="134" spans="1:25" s="226" customFormat="1" x14ac:dyDescent="0.2">
      <c r="B134" s="199">
        <v>75</v>
      </c>
      <c r="C134" s="199" t="s">
        <v>1</v>
      </c>
      <c r="D134" s="200">
        <v>184102121</v>
      </c>
      <c r="E134" s="200" t="s">
        <v>372</v>
      </c>
      <c r="F134" s="220" t="s">
        <v>10</v>
      </c>
      <c r="G134" s="221">
        <f>SUM(S4)</f>
        <v>240</v>
      </c>
      <c r="H134" s="137"/>
      <c r="I134" s="137"/>
      <c r="J134" s="194" t="s">
        <v>219</v>
      </c>
      <c r="K134" s="222"/>
      <c r="L134" s="223"/>
      <c r="W134" s="224"/>
      <c r="X134" s="224"/>
    </row>
    <row r="135" spans="1:25" ht="24" x14ac:dyDescent="0.2">
      <c r="B135" s="133">
        <v>76</v>
      </c>
      <c r="C135" s="133" t="s">
        <v>1</v>
      </c>
      <c r="D135" s="134">
        <v>185802114</v>
      </c>
      <c r="E135" s="134" t="s">
        <v>96</v>
      </c>
      <c r="F135" s="135" t="s">
        <v>6</v>
      </c>
      <c r="G135" s="266">
        <f>(SUM(R3:R4)-39)*0.00002</f>
        <v>1.098E-2</v>
      </c>
      <c r="H135" s="136"/>
      <c r="I135" s="136"/>
      <c r="J135" s="138" t="s">
        <v>294</v>
      </c>
      <c r="K135" s="139"/>
      <c r="L135" s="131"/>
      <c r="W135" s="140"/>
      <c r="X135" s="140"/>
    </row>
    <row r="136" spans="1:25" s="226" customFormat="1" ht="24" x14ac:dyDescent="0.2">
      <c r="B136" s="199">
        <v>77</v>
      </c>
      <c r="C136" s="199" t="s">
        <v>1</v>
      </c>
      <c r="D136" s="200">
        <v>185802124</v>
      </c>
      <c r="E136" s="200" t="s">
        <v>36</v>
      </c>
      <c r="F136" s="220" t="s">
        <v>6</v>
      </c>
      <c r="G136" s="267">
        <f>(SUM(S3:S4)-39)*0.00002</f>
        <v>4.0200000000000001E-3</v>
      </c>
      <c r="H136" s="137"/>
      <c r="I136" s="137"/>
      <c r="J136" s="138" t="s">
        <v>294</v>
      </c>
      <c r="K136" s="228"/>
      <c r="L136" s="223"/>
      <c r="Y136" s="224"/>
    </row>
    <row r="137" spans="1:25" s="185" customFormat="1" x14ac:dyDescent="0.2">
      <c r="B137" s="133">
        <v>78</v>
      </c>
      <c r="C137" s="180" t="s">
        <v>0</v>
      </c>
      <c r="D137" s="187" t="s">
        <v>9</v>
      </c>
      <c r="E137" s="154" t="s">
        <v>97</v>
      </c>
      <c r="F137" s="155" t="s">
        <v>10</v>
      </c>
      <c r="G137" s="231">
        <f>(SUM(R3:T4)-39)*2</f>
        <v>1578</v>
      </c>
      <c r="H137" s="158"/>
      <c r="I137" s="158"/>
      <c r="J137" s="159" t="s">
        <v>294</v>
      </c>
      <c r="K137" s="182"/>
      <c r="L137" s="183"/>
      <c r="W137" s="186"/>
      <c r="X137" s="186"/>
    </row>
    <row r="138" spans="1:25" ht="14.25" x14ac:dyDescent="0.2">
      <c r="B138" s="199">
        <v>79</v>
      </c>
      <c r="C138" s="133" t="s">
        <v>1</v>
      </c>
      <c r="D138" s="134">
        <v>184911421</v>
      </c>
      <c r="E138" s="134" t="s">
        <v>295</v>
      </c>
      <c r="F138" s="135" t="s">
        <v>354</v>
      </c>
      <c r="G138" s="250">
        <f>SUM(R2)</f>
        <v>450</v>
      </c>
      <c r="H138" s="136"/>
      <c r="I138" s="136"/>
      <c r="J138" s="194" t="s">
        <v>309</v>
      </c>
      <c r="K138" s="139"/>
      <c r="L138" s="131"/>
      <c r="O138" s="88"/>
      <c r="P138" s="88"/>
      <c r="S138" s="88"/>
      <c r="T138" s="88"/>
      <c r="W138" s="172"/>
      <c r="X138" s="172"/>
    </row>
    <row r="139" spans="1:25" s="268" customFormat="1" ht="14.25" x14ac:dyDescent="0.2">
      <c r="A139" s="226"/>
      <c r="B139" s="133">
        <v>80</v>
      </c>
      <c r="C139" s="199" t="s">
        <v>1</v>
      </c>
      <c r="D139" s="200">
        <v>184911422</v>
      </c>
      <c r="E139" s="200" t="s">
        <v>296</v>
      </c>
      <c r="F139" s="220" t="s">
        <v>364</v>
      </c>
      <c r="G139" s="201">
        <f>SUM(S2)</f>
        <v>160</v>
      </c>
      <c r="H139" s="137"/>
      <c r="I139" s="137"/>
      <c r="J139" s="194" t="s">
        <v>310</v>
      </c>
      <c r="K139" s="228"/>
      <c r="L139" s="223"/>
      <c r="M139" s="226"/>
      <c r="N139" s="226"/>
      <c r="O139" s="226"/>
      <c r="P139" s="226"/>
      <c r="Q139" s="226"/>
      <c r="R139" s="226"/>
      <c r="S139" s="226"/>
      <c r="T139" s="226"/>
      <c r="U139" s="226"/>
      <c r="V139" s="226"/>
      <c r="W139" s="226"/>
      <c r="X139" s="226"/>
      <c r="Y139" s="224"/>
    </row>
    <row r="140" spans="1:25" s="185" customFormat="1" ht="14.25" x14ac:dyDescent="0.2">
      <c r="B140" s="199">
        <v>81</v>
      </c>
      <c r="C140" s="180" t="s">
        <v>0</v>
      </c>
      <c r="D140" s="153"/>
      <c r="E140" s="154" t="s">
        <v>289</v>
      </c>
      <c r="F140" s="155" t="s">
        <v>365</v>
      </c>
      <c r="G140" s="156">
        <f>SUM(R2:T2)*0.1</f>
        <v>61</v>
      </c>
      <c r="H140" s="158"/>
      <c r="I140" s="158"/>
      <c r="J140" s="159" t="s">
        <v>290</v>
      </c>
      <c r="K140" s="182"/>
      <c r="L140" s="183"/>
      <c r="W140" s="186"/>
      <c r="X140" s="186"/>
    </row>
    <row r="141" spans="1:25" x14ac:dyDescent="0.2">
      <c r="B141" s="133">
        <v>82</v>
      </c>
      <c r="C141" s="133" t="s">
        <v>1</v>
      </c>
      <c r="D141" s="134"/>
      <c r="E141" s="200" t="s">
        <v>366</v>
      </c>
      <c r="F141" s="135" t="s">
        <v>7</v>
      </c>
      <c r="G141" s="206">
        <f>6*25*2</f>
        <v>300</v>
      </c>
      <c r="H141" s="136"/>
      <c r="I141" s="136"/>
      <c r="J141" s="194" t="s">
        <v>313</v>
      </c>
      <c r="K141" s="163"/>
      <c r="L141" s="131"/>
      <c r="O141" s="141"/>
      <c r="P141" s="141"/>
      <c r="W141" s="143"/>
      <c r="X141" s="143"/>
    </row>
    <row r="142" spans="1:25" ht="14.25" x14ac:dyDescent="0.2">
      <c r="B142" s="199">
        <v>83</v>
      </c>
      <c r="C142" s="133" t="s">
        <v>1</v>
      </c>
      <c r="D142" s="134">
        <v>185804312</v>
      </c>
      <c r="E142" s="134" t="s">
        <v>38</v>
      </c>
      <c r="F142" s="220" t="s">
        <v>373</v>
      </c>
      <c r="G142" s="250">
        <f>SUM(R3:T7)*0.01</f>
        <v>8.2799999999999994</v>
      </c>
      <c r="H142" s="136"/>
      <c r="I142" s="136"/>
      <c r="J142" s="194" t="s">
        <v>98</v>
      </c>
      <c r="K142" s="139"/>
      <c r="L142" s="131"/>
      <c r="O142" s="240"/>
      <c r="P142" s="240"/>
      <c r="S142" s="240"/>
      <c r="T142" s="240"/>
      <c r="W142" s="234"/>
      <c r="X142" s="234"/>
    </row>
    <row r="143" spans="1:25" s="185" customFormat="1" ht="14.25" x14ac:dyDescent="0.2">
      <c r="B143" s="133">
        <v>84</v>
      </c>
      <c r="C143" s="180" t="s">
        <v>0</v>
      </c>
      <c r="D143" s="187" t="s">
        <v>9</v>
      </c>
      <c r="E143" s="154" t="s">
        <v>15</v>
      </c>
      <c r="F143" s="155" t="s">
        <v>365</v>
      </c>
      <c r="G143" s="251">
        <f>SUM(R3:T7)*0.01</f>
        <v>8.2799999999999994</v>
      </c>
      <c r="H143" s="158"/>
      <c r="I143" s="158"/>
      <c r="J143" s="159" t="s">
        <v>98</v>
      </c>
      <c r="K143" s="188"/>
      <c r="L143" s="183"/>
      <c r="N143" s="189"/>
      <c r="W143" s="186"/>
      <c r="X143" s="186"/>
    </row>
    <row r="144" spans="1:25" ht="14.25" x14ac:dyDescent="0.2">
      <c r="B144" s="199">
        <v>85</v>
      </c>
      <c r="C144" s="133" t="s">
        <v>1</v>
      </c>
      <c r="D144" s="134">
        <v>185851121</v>
      </c>
      <c r="E144" s="134" t="s">
        <v>37</v>
      </c>
      <c r="F144" s="220" t="s">
        <v>373</v>
      </c>
      <c r="G144" s="250">
        <f>SUM(R3:T7)*0.01</f>
        <v>8.2799999999999994</v>
      </c>
      <c r="H144" s="136"/>
      <c r="I144" s="136"/>
      <c r="J144" s="194" t="s">
        <v>98</v>
      </c>
      <c r="K144" s="139"/>
      <c r="L144" s="131"/>
      <c r="O144" s="240"/>
      <c r="P144" s="240"/>
      <c r="S144" s="240"/>
      <c r="T144" s="240"/>
      <c r="W144" s="234"/>
      <c r="X144" s="234"/>
    </row>
    <row r="145" spans="2:25" ht="14.25" x14ac:dyDescent="0.2">
      <c r="B145" s="133">
        <v>86</v>
      </c>
      <c r="C145" s="133" t="s">
        <v>1</v>
      </c>
      <c r="D145" s="134">
        <v>185851129</v>
      </c>
      <c r="E145" s="134" t="s">
        <v>34</v>
      </c>
      <c r="F145" s="220" t="s">
        <v>373</v>
      </c>
      <c r="G145" s="250">
        <f>SUM(R3:T7)*0.01*10*2</f>
        <v>165.6</v>
      </c>
      <c r="H145" s="136"/>
      <c r="I145" s="136"/>
      <c r="J145" s="194" t="s">
        <v>291</v>
      </c>
      <c r="K145" s="176"/>
      <c r="L145" s="139"/>
      <c r="W145" s="99"/>
      <c r="X145" s="131"/>
      <c r="Y145" s="131"/>
    </row>
    <row r="146" spans="2:25" ht="24" x14ac:dyDescent="0.2">
      <c r="B146" s="199">
        <v>87</v>
      </c>
      <c r="C146" s="133" t="s">
        <v>1</v>
      </c>
      <c r="D146" s="134"/>
      <c r="E146" s="200" t="s">
        <v>374</v>
      </c>
      <c r="F146" s="135" t="s">
        <v>7</v>
      </c>
      <c r="G146" s="250">
        <f>1*25*2</f>
        <v>50</v>
      </c>
      <c r="H146" s="136"/>
      <c r="I146" s="136"/>
      <c r="J146" s="194" t="s">
        <v>123</v>
      </c>
      <c r="K146" s="163"/>
      <c r="L146" s="131"/>
      <c r="M146" s="142"/>
      <c r="W146" s="140"/>
      <c r="X146" s="140"/>
    </row>
    <row r="147" spans="2:25" ht="24" x14ac:dyDescent="0.2">
      <c r="B147" s="133">
        <v>88</v>
      </c>
      <c r="C147" s="133" t="s">
        <v>1</v>
      </c>
      <c r="D147" s="134">
        <v>469973127</v>
      </c>
      <c r="E147" s="134" t="s">
        <v>226</v>
      </c>
      <c r="F147" s="135" t="s">
        <v>6</v>
      </c>
      <c r="G147" s="177">
        <f>1*0.5</f>
        <v>0.5</v>
      </c>
      <c r="H147" s="136"/>
      <c r="I147" s="136"/>
      <c r="J147" s="194" t="s">
        <v>22</v>
      </c>
      <c r="K147" s="163"/>
      <c r="L147" s="131"/>
      <c r="W147" s="99"/>
      <c r="X147" s="99"/>
      <c r="Y147" s="140"/>
    </row>
    <row r="148" spans="2:25" s="185" customFormat="1" collapsed="1" x14ac:dyDescent="0.2">
      <c r="B148" s="199">
        <v>89</v>
      </c>
      <c r="C148" s="180"/>
      <c r="D148" s="187"/>
      <c r="E148" s="155" t="s">
        <v>79</v>
      </c>
      <c r="F148" s="155"/>
      <c r="G148" s="231">
        <f>SUM(G149:G152)</f>
        <v>25</v>
      </c>
      <c r="H148" s="158"/>
      <c r="I148" s="158"/>
      <c r="J148" s="159"/>
      <c r="K148" s="188"/>
      <c r="L148" s="183"/>
      <c r="W148" s="186"/>
      <c r="X148" s="186"/>
    </row>
    <row r="149" spans="2:25" s="185" customFormat="1" x14ac:dyDescent="0.2">
      <c r="B149" s="133">
        <v>90</v>
      </c>
      <c r="C149" s="180" t="s">
        <v>0</v>
      </c>
      <c r="D149" s="187" t="s">
        <v>9</v>
      </c>
      <c r="E149" s="154" t="s">
        <v>146</v>
      </c>
      <c r="F149" s="155" t="s">
        <v>10</v>
      </c>
      <c r="G149" s="231">
        <v>10</v>
      </c>
      <c r="H149" s="158"/>
      <c r="I149" s="158"/>
      <c r="J149" s="159" t="s">
        <v>214</v>
      </c>
      <c r="K149" s="188"/>
      <c r="L149" s="183"/>
      <c r="W149" s="186"/>
      <c r="X149" s="186"/>
    </row>
    <row r="150" spans="2:25" s="185" customFormat="1" x14ac:dyDescent="0.2">
      <c r="B150" s="199">
        <v>91</v>
      </c>
      <c r="C150" s="180" t="s">
        <v>0</v>
      </c>
      <c r="D150" s="187" t="s">
        <v>9</v>
      </c>
      <c r="E150" s="154" t="s">
        <v>147</v>
      </c>
      <c r="F150" s="155" t="s">
        <v>10</v>
      </c>
      <c r="G150" s="231">
        <v>5</v>
      </c>
      <c r="H150" s="158"/>
      <c r="I150" s="158"/>
      <c r="J150" s="159" t="s">
        <v>214</v>
      </c>
      <c r="K150" s="188"/>
      <c r="L150" s="183"/>
      <c r="W150" s="186"/>
      <c r="X150" s="186"/>
    </row>
    <row r="151" spans="2:25" s="185" customFormat="1" x14ac:dyDescent="0.2">
      <c r="B151" s="133">
        <v>92</v>
      </c>
      <c r="C151" s="180" t="s">
        <v>0</v>
      </c>
      <c r="D151" s="187" t="s">
        <v>9</v>
      </c>
      <c r="E151" s="154" t="s">
        <v>148</v>
      </c>
      <c r="F151" s="155" t="s">
        <v>10</v>
      </c>
      <c r="G151" s="231">
        <v>2</v>
      </c>
      <c r="H151" s="158"/>
      <c r="I151" s="158"/>
      <c r="J151" s="159" t="s">
        <v>214</v>
      </c>
      <c r="K151" s="188"/>
      <c r="L151" s="183"/>
      <c r="W151" s="186"/>
      <c r="X151" s="186"/>
    </row>
    <row r="152" spans="2:25" s="185" customFormat="1" x14ac:dyDescent="0.2">
      <c r="B152" s="199">
        <v>93</v>
      </c>
      <c r="C152" s="180" t="s">
        <v>0</v>
      </c>
      <c r="D152" s="187" t="s">
        <v>9</v>
      </c>
      <c r="E152" s="154" t="s">
        <v>149</v>
      </c>
      <c r="F152" s="155" t="s">
        <v>10</v>
      </c>
      <c r="G152" s="231">
        <v>8</v>
      </c>
      <c r="H152" s="158"/>
      <c r="I152" s="158"/>
      <c r="J152" s="159" t="s">
        <v>214</v>
      </c>
      <c r="K152" s="188"/>
      <c r="L152" s="183"/>
      <c r="W152" s="186"/>
      <c r="X152" s="186"/>
    </row>
    <row r="153" spans="2:25" s="185" customFormat="1" x14ac:dyDescent="0.2">
      <c r="B153" s="133">
        <v>94</v>
      </c>
      <c r="C153" s="180"/>
      <c r="D153" s="187"/>
      <c r="E153" s="155" t="s">
        <v>80</v>
      </c>
      <c r="F153" s="155"/>
      <c r="G153" s="231">
        <f>SUM(G154:G164)</f>
        <v>233</v>
      </c>
      <c r="H153" s="158"/>
      <c r="I153" s="158"/>
      <c r="J153" s="159"/>
      <c r="K153" s="188"/>
      <c r="L153" s="183"/>
      <c r="W153" s="186"/>
      <c r="X153" s="186"/>
    </row>
    <row r="154" spans="2:25" s="185" customFormat="1" x14ac:dyDescent="0.2">
      <c r="B154" s="199">
        <v>95</v>
      </c>
      <c r="C154" s="180" t="s">
        <v>0</v>
      </c>
      <c r="D154" s="187" t="s">
        <v>9</v>
      </c>
      <c r="E154" s="154" t="s">
        <v>285</v>
      </c>
      <c r="F154" s="155" t="s">
        <v>10</v>
      </c>
      <c r="G154" s="231">
        <v>1</v>
      </c>
      <c r="H154" s="158"/>
      <c r="I154" s="158"/>
      <c r="J154" s="159"/>
      <c r="K154" s="188"/>
      <c r="L154" s="183"/>
      <c r="W154" s="186"/>
      <c r="X154" s="186"/>
    </row>
    <row r="155" spans="2:25" s="185" customFormat="1" x14ac:dyDescent="0.2">
      <c r="B155" s="133">
        <v>96</v>
      </c>
      <c r="C155" s="180" t="s">
        <v>0</v>
      </c>
      <c r="D155" s="187" t="s">
        <v>9</v>
      </c>
      <c r="E155" s="154" t="s">
        <v>287</v>
      </c>
      <c r="F155" s="155" t="s">
        <v>10</v>
      </c>
      <c r="G155" s="231">
        <v>39</v>
      </c>
      <c r="H155" s="158"/>
      <c r="I155" s="158"/>
      <c r="J155" s="159"/>
      <c r="K155" s="188"/>
      <c r="L155" s="183"/>
      <c r="W155" s="186"/>
      <c r="X155" s="186"/>
    </row>
    <row r="156" spans="2:25" s="185" customFormat="1" x14ac:dyDescent="0.2">
      <c r="B156" s="199">
        <v>97</v>
      </c>
      <c r="C156" s="180" t="s">
        <v>0</v>
      </c>
      <c r="D156" s="187" t="s">
        <v>9</v>
      </c>
      <c r="E156" s="154" t="s">
        <v>280</v>
      </c>
      <c r="F156" s="155" t="s">
        <v>10</v>
      </c>
      <c r="G156" s="231">
        <v>15</v>
      </c>
      <c r="H156" s="158"/>
      <c r="I156" s="158"/>
      <c r="J156" s="159" t="s">
        <v>214</v>
      </c>
      <c r="K156" s="188"/>
      <c r="L156" s="183"/>
      <c r="W156" s="186"/>
      <c r="X156" s="186"/>
    </row>
    <row r="157" spans="2:25" s="185" customFormat="1" x14ac:dyDescent="0.2">
      <c r="B157" s="133">
        <v>98</v>
      </c>
      <c r="C157" s="180" t="s">
        <v>0</v>
      </c>
      <c r="D157" s="187" t="s">
        <v>9</v>
      </c>
      <c r="E157" s="154" t="s">
        <v>191</v>
      </c>
      <c r="F157" s="155" t="s">
        <v>10</v>
      </c>
      <c r="G157" s="231">
        <v>12</v>
      </c>
      <c r="H157" s="158"/>
      <c r="I157" s="158"/>
      <c r="J157" s="159" t="s">
        <v>214</v>
      </c>
      <c r="K157" s="188"/>
      <c r="L157" s="183"/>
      <c r="W157" s="186"/>
      <c r="X157" s="186"/>
    </row>
    <row r="158" spans="2:25" s="185" customFormat="1" x14ac:dyDescent="0.2">
      <c r="B158" s="199">
        <v>99</v>
      </c>
      <c r="C158" s="180" t="s">
        <v>0</v>
      </c>
      <c r="D158" s="187" t="s">
        <v>9</v>
      </c>
      <c r="E158" s="154" t="s">
        <v>192</v>
      </c>
      <c r="F158" s="155" t="s">
        <v>10</v>
      </c>
      <c r="G158" s="231">
        <v>9</v>
      </c>
      <c r="H158" s="158"/>
      <c r="I158" s="158"/>
      <c r="J158" s="159" t="s">
        <v>214</v>
      </c>
      <c r="K158" s="188"/>
      <c r="L158" s="183"/>
      <c r="W158" s="186"/>
      <c r="X158" s="186"/>
    </row>
    <row r="159" spans="2:25" s="185" customFormat="1" x14ac:dyDescent="0.2">
      <c r="B159" s="133">
        <v>100</v>
      </c>
      <c r="C159" s="180" t="s">
        <v>0</v>
      </c>
      <c r="D159" s="187" t="s">
        <v>9</v>
      </c>
      <c r="E159" s="154" t="s">
        <v>150</v>
      </c>
      <c r="F159" s="155" t="s">
        <v>10</v>
      </c>
      <c r="G159" s="231">
        <v>95</v>
      </c>
      <c r="H159" s="158"/>
      <c r="I159" s="158"/>
      <c r="J159" s="159" t="s">
        <v>214</v>
      </c>
      <c r="K159" s="188"/>
      <c r="L159" s="183"/>
      <c r="W159" s="186"/>
      <c r="X159" s="186"/>
    </row>
    <row r="160" spans="2:25" s="185" customFormat="1" x14ac:dyDescent="0.2">
      <c r="B160" s="199">
        <v>101</v>
      </c>
      <c r="C160" s="180" t="s">
        <v>0</v>
      </c>
      <c r="D160" s="187" t="s">
        <v>9</v>
      </c>
      <c r="E160" s="154" t="s">
        <v>151</v>
      </c>
      <c r="F160" s="155" t="s">
        <v>10</v>
      </c>
      <c r="G160" s="231">
        <v>7</v>
      </c>
      <c r="H160" s="158"/>
      <c r="I160" s="158"/>
      <c r="J160" s="159" t="s">
        <v>214</v>
      </c>
      <c r="K160" s="188"/>
      <c r="L160" s="183"/>
      <c r="W160" s="186"/>
      <c r="X160" s="186"/>
    </row>
    <row r="161" spans="2:24" s="185" customFormat="1" x14ac:dyDescent="0.2">
      <c r="B161" s="133">
        <v>102</v>
      </c>
      <c r="C161" s="180" t="s">
        <v>0</v>
      </c>
      <c r="D161" s="187" t="s">
        <v>9</v>
      </c>
      <c r="E161" s="154" t="s">
        <v>152</v>
      </c>
      <c r="F161" s="155" t="s">
        <v>10</v>
      </c>
      <c r="G161" s="231">
        <v>10</v>
      </c>
      <c r="H161" s="158"/>
      <c r="I161" s="158"/>
      <c r="J161" s="159" t="s">
        <v>214</v>
      </c>
      <c r="K161" s="188"/>
      <c r="L161" s="183"/>
      <c r="W161" s="186"/>
      <c r="X161" s="186"/>
    </row>
    <row r="162" spans="2:24" s="185" customFormat="1" x14ac:dyDescent="0.2">
      <c r="B162" s="199">
        <v>103</v>
      </c>
      <c r="C162" s="180" t="s">
        <v>0</v>
      </c>
      <c r="D162" s="187" t="s">
        <v>9</v>
      </c>
      <c r="E162" s="154" t="s">
        <v>153</v>
      </c>
      <c r="F162" s="155" t="s">
        <v>10</v>
      </c>
      <c r="G162" s="231">
        <v>20</v>
      </c>
      <c r="H162" s="158"/>
      <c r="I162" s="158"/>
      <c r="J162" s="159" t="s">
        <v>214</v>
      </c>
      <c r="K162" s="188"/>
      <c r="L162" s="183"/>
      <c r="W162" s="186"/>
      <c r="X162" s="186"/>
    </row>
    <row r="163" spans="2:24" s="185" customFormat="1" x14ac:dyDescent="0.2">
      <c r="B163" s="133">
        <v>104</v>
      </c>
      <c r="C163" s="180" t="s">
        <v>0</v>
      </c>
      <c r="D163" s="187" t="s">
        <v>9</v>
      </c>
      <c r="E163" s="154" t="s">
        <v>281</v>
      </c>
      <c r="F163" s="155" t="s">
        <v>10</v>
      </c>
      <c r="G163" s="231">
        <v>12</v>
      </c>
      <c r="H163" s="158"/>
      <c r="I163" s="158"/>
      <c r="J163" s="159"/>
      <c r="K163" s="188"/>
      <c r="L163" s="183"/>
      <c r="W163" s="186"/>
      <c r="X163" s="186"/>
    </row>
    <row r="164" spans="2:24" s="185" customFormat="1" x14ac:dyDescent="0.2">
      <c r="B164" s="199">
        <v>105</v>
      </c>
      <c r="C164" s="180" t="s">
        <v>0</v>
      </c>
      <c r="D164" s="187" t="s">
        <v>9</v>
      </c>
      <c r="E164" s="154" t="s">
        <v>282</v>
      </c>
      <c r="F164" s="155" t="s">
        <v>10</v>
      </c>
      <c r="G164" s="231">
        <v>13</v>
      </c>
      <c r="H164" s="158"/>
      <c r="I164" s="158"/>
      <c r="J164" s="159"/>
      <c r="K164" s="188"/>
      <c r="L164" s="183"/>
      <c r="W164" s="186"/>
      <c r="X164" s="186"/>
    </row>
    <row r="165" spans="2:24" s="185" customFormat="1" x14ac:dyDescent="0.2">
      <c r="B165" s="133">
        <v>106</v>
      </c>
      <c r="C165" s="180"/>
      <c r="D165" s="187"/>
      <c r="E165" s="155" t="s">
        <v>81</v>
      </c>
      <c r="F165" s="155"/>
      <c r="G165" s="231">
        <f>SUM(G166:G177)</f>
        <v>570</v>
      </c>
      <c r="H165" s="158"/>
      <c r="I165" s="158"/>
      <c r="J165" s="159"/>
      <c r="K165" s="188"/>
      <c r="L165" s="183"/>
      <c r="W165" s="186"/>
      <c r="X165" s="186"/>
    </row>
    <row r="166" spans="2:24" s="185" customFormat="1" x14ac:dyDescent="0.2">
      <c r="B166" s="199">
        <v>107</v>
      </c>
      <c r="C166" s="180" t="s">
        <v>0</v>
      </c>
      <c r="D166" s="187" t="s">
        <v>9</v>
      </c>
      <c r="E166" s="154" t="s">
        <v>154</v>
      </c>
      <c r="F166" s="155" t="s">
        <v>10</v>
      </c>
      <c r="G166" s="231">
        <v>15</v>
      </c>
      <c r="H166" s="158"/>
      <c r="I166" s="158"/>
      <c r="J166" s="159" t="s">
        <v>214</v>
      </c>
      <c r="K166" s="188"/>
      <c r="L166" s="183"/>
      <c r="W166" s="186"/>
      <c r="X166" s="186"/>
    </row>
    <row r="167" spans="2:24" s="185" customFormat="1" x14ac:dyDescent="0.2">
      <c r="B167" s="133">
        <v>108</v>
      </c>
      <c r="C167" s="180" t="s">
        <v>0</v>
      </c>
      <c r="D167" s="187" t="s">
        <v>9</v>
      </c>
      <c r="E167" s="154" t="s">
        <v>155</v>
      </c>
      <c r="F167" s="155" t="s">
        <v>10</v>
      </c>
      <c r="G167" s="231">
        <v>19</v>
      </c>
      <c r="H167" s="158"/>
      <c r="I167" s="158"/>
      <c r="J167" s="159" t="s">
        <v>214</v>
      </c>
      <c r="K167" s="188"/>
      <c r="L167" s="183"/>
      <c r="W167" s="186"/>
      <c r="X167" s="186"/>
    </row>
    <row r="168" spans="2:24" s="185" customFormat="1" x14ac:dyDescent="0.2">
      <c r="B168" s="199">
        <v>109</v>
      </c>
      <c r="C168" s="180" t="s">
        <v>0</v>
      </c>
      <c r="D168" s="187" t="s">
        <v>9</v>
      </c>
      <c r="E168" s="154" t="s">
        <v>156</v>
      </c>
      <c r="F168" s="155" t="s">
        <v>10</v>
      </c>
      <c r="G168" s="231">
        <v>8</v>
      </c>
      <c r="H168" s="158"/>
      <c r="I168" s="158"/>
      <c r="J168" s="159" t="s">
        <v>214</v>
      </c>
      <c r="K168" s="188"/>
      <c r="L168" s="183"/>
      <c r="W168" s="186"/>
      <c r="X168" s="186"/>
    </row>
    <row r="169" spans="2:24" s="185" customFormat="1" x14ac:dyDescent="0.2">
      <c r="B169" s="133">
        <v>110</v>
      </c>
      <c r="C169" s="180" t="s">
        <v>0</v>
      </c>
      <c r="D169" s="187" t="s">
        <v>9</v>
      </c>
      <c r="E169" s="154" t="s">
        <v>157</v>
      </c>
      <c r="F169" s="155" t="s">
        <v>10</v>
      </c>
      <c r="G169" s="231">
        <v>30</v>
      </c>
      <c r="H169" s="158"/>
      <c r="I169" s="158"/>
      <c r="J169" s="159" t="s">
        <v>214</v>
      </c>
      <c r="K169" s="188"/>
      <c r="L169" s="183"/>
      <c r="W169" s="186"/>
      <c r="X169" s="186"/>
    </row>
    <row r="170" spans="2:24" s="185" customFormat="1" x14ac:dyDescent="0.2">
      <c r="B170" s="199">
        <v>111</v>
      </c>
      <c r="C170" s="180" t="s">
        <v>0</v>
      </c>
      <c r="D170" s="187" t="s">
        <v>9</v>
      </c>
      <c r="E170" s="154" t="s">
        <v>158</v>
      </c>
      <c r="F170" s="155" t="s">
        <v>10</v>
      </c>
      <c r="G170" s="231">
        <v>26</v>
      </c>
      <c r="H170" s="158"/>
      <c r="I170" s="158"/>
      <c r="J170" s="159" t="s">
        <v>214</v>
      </c>
      <c r="K170" s="188"/>
      <c r="L170" s="183"/>
      <c r="W170" s="186"/>
      <c r="X170" s="186"/>
    </row>
    <row r="171" spans="2:24" s="185" customFormat="1" x14ac:dyDescent="0.2">
      <c r="B171" s="133">
        <v>112</v>
      </c>
      <c r="C171" s="180" t="s">
        <v>0</v>
      </c>
      <c r="D171" s="187" t="s">
        <v>9</v>
      </c>
      <c r="E171" s="154" t="s">
        <v>189</v>
      </c>
      <c r="F171" s="155" t="s">
        <v>10</v>
      </c>
      <c r="G171" s="231">
        <v>18</v>
      </c>
      <c r="H171" s="158"/>
      <c r="I171" s="158"/>
      <c r="J171" s="159" t="s">
        <v>214</v>
      </c>
      <c r="K171" s="188"/>
      <c r="L171" s="183"/>
      <c r="W171" s="186"/>
      <c r="X171" s="186"/>
    </row>
    <row r="172" spans="2:24" s="185" customFormat="1" x14ac:dyDescent="0.2">
      <c r="B172" s="199">
        <v>113</v>
      </c>
      <c r="C172" s="180" t="s">
        <v>0</v>
      </c>
      <c r="D172" s="187" t="s">
        <v>9</v>
      </c>
      <c r="E172" s="154" t="s">
        <v>283</v>
      </c>
      <c r="F172" s="155" t="s">
        <v>10</v>
      </c>
      <c r="G172" s="231">
        <v>30</v>
      </c>
      <c r="H172" s="158"/>
      <c r="I172" s="158"/>
      <c r="J172" s="159"/>
      <c r="K172" s="188"/>
      <c r="L172" s="183"/>
      <c r="W172" s="186"/>
      <c r="X172" s="186"/>
    </row>
    <row r="173" spans="2:24" s="185" customFormat="1" x14ac:dyDescent="0.2">
      <c r="B173" s="133">
        <v>114</v>
      </c>
      <c r="C173" s="180" t="s">
        <v>0</v>
      </c>
      <c r="D173" s="187" t="s">
        <v>9</v>
      </c>
      <c r="E173" s="154" t="s">
        <v>159</v>
      </c>
      <c r="F173" s="155" t="s">
        <v>10</v>
      </c>
      <c r="G173" s="231">
        <v>74</v>
      </c>
      <c r="H173" s="158"/>
      <c r="I173" s="158"/>
      <c r="J173" s="159" t="s">
        <v>214</v>
      </c>
      <c r="K173" s="188"/>
      <c r="L173" s="183"/>
      <c r="W173" s="186"/>
      <c r="X173" s="186"/>
    </row>
    <row r="174" spans="2:24" s="185" customFormat="1" x14ac:dyDescent="0.2">
      <c r="B174" s="199">
        <v>115</v>
      </c>
      <c r="C174" s="180" t="s">
        <v>0</v>
      </c>
      <c r="D174" s="187" t="s">
        <v>9</v>
      </c>
      <c r="E174" s="154" t="s">
        <v>160</v>
      </c>
      <c r="F174" s="155" t="s">
        <v>10</v>
      </c>
      <c r="G174" s="231">
        <v>129</v>
      </c>
      <c r="H174" s="158"/>
      <c r="I174" s="158"/>
      <c r="J174" s="159" t="s">
        <v>214</v>
      </c>
      <c r="K174" s="188"/>
      <c r="L174" s="183"/>
      <c r="W174" s="186"/>
      <c r="X174" s="186"/>
    </row>
    <row r="175" spans="2:24" s="185" customFormat="1" x14ac:dyDescent="0.2">
      <c r="B175" s="133">
        <v>116</v>
      </c>
      <c r="C175" s="180" t="s">
        <v>0</v>
      </c>
      <c r="D175" s="187" t="s">
        <v>9</v>
      </c>
      <c r="E175" s="154" t="s">
        <v>286</v>
      </c>
      <c r="F175" s="155" t="s">
        <v>10</v>
      </c>
      <c r="G175" s="231">
        <v>9</v>
      </c>
      <c r="H175" s="158"/>
      <c r="I175" s="158"/>
      <c r="J175" s="159"/>
      <c r="K175" s="188"/>
      <c r="L175" s="183"/>
      <c r="W175" s="186"/>
      <c r="X175" s="186"/>
    </row>
    <row r="176" spans="2:24" s="185" customFormat="1" x14ac:dyDescent="0.2">
      <c r="B176" s="199">
        <v>117</v>
      </c>
      <c r="C176" s="180" t="s">
        <v>0</v>
      </c>
      <c r="D176" s="187" t="s">
        <v>9</v>
      </c>
      <c r="E176" s="154" t="s">
        <v>161</v>
      </c>
      <c r="F176" s="155" t="s">
        <v>10</v>
      </c>
      <c r="G176" s="231">
        <v>68</v>
      </c>
      <c r="H176" s="158"/>
      <c r="I176" s="158"/>
      <c r="J176" s="159" t="s">
        <v>214</v>
      </c>
      <c r="K176" s="188"/>
      <c r="L176" s="183"/>
      <c r="W176" s="186"/>
      <c r="X176" s="186"/>
    </row>
    <row r="177" spans="2:25" s="185" customFormat="1" x14ac:dyDescent="0.2">
      <c r="B177" s="133">
        <v>118</v>
      </c>
      <c r="C177" s="180" t="s">
        <v>0</v>
      </c>
      <c r="D177" s="187" t="s">
        <v>9</v>
      </c>
      <c r="E177" s="154" t="s">
        <v>284</v>
      </c>
      <c r="F177" s="155" t="s">
        <v>10</v>
      </c>
      <c r="G177" s="231">
        <v>144</v>
      </c>
      <c r="H177" s="158"/>
      <c r="I177" s="158"/>
      <c r="J177" s="159"/>
      <c r="K177" s="188"/>
      <c r="L177" s="183"/>
      <c r="W177" s="186"/>
      <c r="X177" s="186"/>
    </row>
    <row r="178" spans="2:25" s="191" customFormat="1" collapsed="1" x14ac:dyDescent="0.2">
      <c r="B178" s="199">
        <v>119</v>
      </c>
      <c r="C178" s="133" t="s">
        <v>1</v>
      </c>
      <c r="D178" s="134"/>
      <c r="E178" s="134" t="s">
        <v>104</v>
      </c>
      <c r="F178" s="135" t="s">
        <v>312</v>
      </c>
      <c r="G178" s="206">
        <v>1</v>
      </c>
      <c r="H178" s="136"/>
      <c r="I178" s="136"/>
      <c r="J178" s="194" t="s">
        <v>254</v>
      </c>
      <c r="K178" s="257"/>
      <c r="L178" s="131"/>
      <c r="N178" s="258"/>
      <c r="O178" s="99"/>
      <c r="P178" s="99"/>
      <c r="S178" s="99"/>
      <c r="T178" s="99"/>
      <c r="W178" s="140"/>
      <c r="X178" s="140"/>
    </row>
    <row r="179" spans="2:25" s="191" customFormat="1" ht="24" x14ac:dyDescent="0.2">
      <c r="B179" s="133">
        <v>120</v>
      </c>
      <c r="C179" s="133" t="s">
        <v>1</v>
      </c>
      <c r="D179" s="200">
        <v>119005131</v>
      </c>
      <c r="E179" s="134" t="s">
        <v>58</v>
      </c>
      <c r="F179" s="135" t="s">
        <v>354</v>
      </c>
      <c r="G179" s="177">
        <f>SUM(R2:T2)</f>
        <v>610</v>
      </c>
      <c r="H179" s="136"/>
      <c r="I179" s="136"/>
      <c r="J179" s="194" t="s">
        <v>255</v>
      </c>
      <c r="K179" s="260"/>
      <c r="L179" s="131"/>
      <c r="O179" s="258"/>
      <c r="Y179" s="192"/>
    </row>
    <row r="180" spans="2:25" s="88" customFormat="1" x14ac:dyDescent="0.2">
      <c r="B180" s="166"/>
      <c r="C180" s="166"/>
      <c r="E180" s="79"/>
      <c r="F180" s="167"/>
      <c r="H180" s="261" t="s">
        <v>73</v>
      </c>
      <c r="I180" s="218">
        <f>SUM(I119:I179)</f>
        <v>0</v>
      </c>
      <c r="J180" s="170" t="s">
        <v>75</v>
      </c>
      <c r="K180" s="171"/>
      <c r="L180" s="172"/>
      <c r="O180" s="98"/>
      <c r="P180" s="98"/>
      <c r="Q180" s="98"/>
      <c r="R180" s="98"/>
      <c r="S180" s="98"/>
      <c r="T180" s="98"/>
      <c r="W180" s="173"/>
      <c r="X180" s="173"/>
    </row>
    <row r="181" spans="2:25" x14ac:dyDescent="0.2">
      <c r="B181" s="205" t="s">
        <v>72</v>
      </c>
      <c r="C181" s="125"/>
      <c r="D181" s="79"/>
      <c r="E181" s="79"/>
      <c r="F181" s="126"/>
      <c r="G181" s="127"/>
      <c r="H181" s="128"/>
      <c r="I181" s="128"/>
      <c r="J181" s="129"/>
      <c r="K181" s="130"/>
      <c r="L181" s="131"/>
      <c r="M181" s="132"/>
      <c r="N181" s="98"/>
      <c r="O181" s="98"/>
      <c r="P181" s="98"/>
      <c r="W181" s="131"/>
      <c r="X181" s="131"/>
    </row>
    <row r="182" spans="2:25" ht="24" x14ac:dyDescent="0.2">
      <c r="B182" s="133">
        <v>121</v>
      </c>
      <c r="C182" s="133" t="s">
        <v>1</v>
      </c>
      <c r="D182" s="134">
        <v>183111113</v>
      </c>
      <c r="E182" s="134" t="s">
        <v>39</v>
      </c>
      <c r="F182" s="135" t="s">
        <v>10</v>
      </c>
      <c r="G182" s="206">
        <f>SUM(V2)</f>
        <v>16</v>
      </c>
      <c r="H182" s="136"/>
      <c r="I182" s="136"/>
      <c r="J182" s="194" t="s">
        <v>265</v>
      </c>
      <c r="K182" s="139"/>
      <c r="L182" s="131"/>
      <c r="O182" s="141"/>
      <c r="P182" s="141"/>
      <c r="S182" s="141"/>
      <c r="T182" s="141"/>
      <c r="W182" s="143"/>
      <c r="X182" s="143"/>
    </row>
    <row r="183" spans="2:25" ht="24" x14ac:dyDescent="0.2">
      <c r="B183" s="133">
        <v>122</v>
      </c>
      <c r="C183" s="133" t="s">
        <v>1</v>
      </c>
      <c r="D183" s="134">
        <v>185802114</v>
      </c>
      <c r="E183" s="134" t="s">
        <v>16</v>
      </c>
      <c r="F183" s="135" t="s">
        <v>6</v>
      </c>
      <c r="G183" s="229">
        <f>SUM(V2)*0.000001</f>
        <v>1.5999999999999999E-5</v>
      </c>
      <c r="H183" s="136"/>
      <c r="I183" s="136"/>
      <c r="J183" s="138" t="s">
        <v>100</v>
      </c>
      <c r="K183" s="139"/>
      <c r="L183" s="131"/>
      <c r="W183" s="140"/>
      <c r="X183" s="140"/>
    </row>
    <row r="184" spans="2:25" s="241" customFormat="1" x14ac:dyDescent="0.2">
      <c r="B184" s="133">
        <v>123</v>
      </c>
      <c r="C184" s="180" t="s">
        <v>0</v>
      </c>
      <c r="D184" s="187" t="s">
        <v>9</v>
      </c>
      <c r="E184" s="154" t="s">
        <v>99</v>
      </c>
      <c r="F184" s="155" t="s">
        <v>10</v>
      </c>
      <c r="G184" s="231">
        <f>SUM(V2:X2)</f>
        <v>16</v>
      </c>
      <c r="H184" s="158"/>
      <c r="I184" s="158"/>
      <c r="J184" s="138" t="s">
        <v>100</v>
      </c>
      <c r="K184" s="269"/>
      <c r="L184" s="183"/>
      <c r="Y184" s="242"/>
    </row>
    <row r="185" spans="2:25" s="88" customFormat="1" x14ac:dyDescent="0.2">
      <c r="B185" s="133">
        <v>124</v>
      </c>
      <c r="C185" s="133" t="s">
        <v>1</v>
      </c>
      <c r="D185" s="134">
        <v>183211322</v>
      </c>
      <c r="E185" s="134" t="s">
        <v>40</v>
      </c>
      <c r="F185" s="135" t="s">
        <v>10</v>
      </c>
      <c r="G185" s="270">
        <f>SUM(V2:X2)</f>
        <v>16</v>
      </c>
      <c r="H185" s="136"/>
      <c r="I185" s="136"/>
      <c r="J185" s="194" t="s">
        <v>265</v>
      </c>
      <c r="K185" s="163"/>
      <c r="L185" s="131"/>
      <c r="Y185" s="172"/>
    </row>
    <row r="186" spans="2:25" ht="14.25" x14ac:dyDescent="0.2">
      <c r="B186" s="133">
        <v>125</v>
      </c>
      <c r="C186" s="133" t="s">
        <v>1</v>
      </c>
      <c r="D186" s="134">
        <v>185804312</v>
      </c>
      <c r="E186" s="134" t="s">
        <v>41</v>
      </c>
      <c r="F186" s="135" t="s">
        <v>373</v>
      </c>
      <c r="G186" s="250">
        <f>SUM(V2:X2)*0.001</f>
        <v>1.6E-2</v>
      </c>
      <c r="H186" s="136"/>
      <c r="I186" s="136"/>
      <c r="J186" s="138" t="s">
        <v>101</v>
      </c>
      <c r="K186" s="139"/>
      <c r="L186" s="131"/>
      <c r="O186" s="240"/>
      <c r="P186" s="240"/>
      <c r="S186" s="240"/>
      <c r="T186" s="240"/>
      <c r="W186" s="234"/>
      <c r="X186" s="234"/>
    </row>
    <row r="187" spans="2:25" s="185" customFormat="1" ht="14.25" x14ac:dyDescent="0.2">
      <c r="B187" s="133">
        <v>126</v>
      </c>
      <c r="C187" s="180" t="s">
        <v>0</v>
      </c>
      <c r="D187" s="187" t="s">
        <v>9</v>
      </c>
      <c r="E187" s="154" t="s">
        <v>103</v>
      </c>
      <c r="F187" s="155" t="s">
        <v>365</v>
      </c>
      <c r="G187" s="251">
        <f>SUM(V2:X2)*0.001</f>
        <v>1.6E-2</v>
      </c>
      <c r="H187" s="158"/>
      <c r="I187" s="158"/>
      <c r="J187" s="138" t="s">
        <v>101</v>
      </c>
      <c r="K187" s="188"/>
      <c r="L187" s="183"/>
      <c r="N187" s="189"/>
      <c r="W187" s="186"/>
      <c r="X187" s="186"/>
    </row>
    <row r="188" spans="2:25" ht="14.25" x14ac:dyDescent="0.2">
      <c r="B188" s="133">
        <v>127</v>
      </c>
      <c r="C188" s="133" t="s">
        <v>1</v>
      </c>
      <c r="D188" s="134">
        <v>185851121</v>
      </c>
      <c r="E188" s="134" t="s">
        <v>42</v>
      </c>
      <c r="F188" s="135" t="s">
        <v>373</v>
      </c>
      <c r="G188" s="250">
        <f>SUM(V2:X2)*0.001</f>
        <v>1.6E-2</v>
      </c>
      <c r="H188" s="136"/>
      <c r="I188" s="136"/>
      <c r="J188" s="138" t="s">
        <v>101</v>
      </c>
      <c r="K188" s="139"/>
      <c r="L188" s="131"/>
      <c r="O188" s="240"/>
      <c r="P188" s="240"/>
      <c r="S188" s="240"/>
      <c r="T188" s="240"/>
      <c r="W188" s="234"/>
      <c r="X188" s="234"/>
    </row>
    <row r="189" spans="2:25" ht="14.25" x14ac:dyDescent="0.2">
      <c r="B189" s="133">
        <v>128</v>
      </c>
      <c r="C189" s="133" t="s">
        <v>1</v>
      </c>
      <c r="D189" s="134">
        <v>185851129</v>
      </c>
      <c r="E189" s="134" t="s">
        <v>34</v>
      </c>
      <c r="F189" s="135" t="s">
        <v>373</v>
      </c>
      <c r="G189" s="250">
        <f>SUM(V2:X2)*0.001*25*2</f>
        <v>0.8</v>
      </c>
      <c r="H189" s="136"/>
      <c r="I189" s="136"/>
      <c r="J189" s="138" t="s">
        <v>102</v>
      </c>
      <c r="K189" s="176"/>
      <c r="L189" s="139"/>
      <c r="W189" s="99"/>
      <c r="X189" s="131"/>
      <c r="Y189" s="131"/>
    </row>
    <row r="190" spans="2:25" s="241" customFormat="1" x14ac:dyDescent="0.2">
      <c r="B190" s="133">
        <v>129</v>
      </c>
      <c r="C190" s="180"/>
      <c r="D190" s="154"/>
      <c r="E190" s="155" t="s">
        <v>107</v>
      </c>
      <c r="F190" s="155"/>
      <c r="G190" s="231">
        <f>SUM(G191:G191)</f>
        <v>16</v>
      </c>
      <c r="H190" s="158"/>
      <c r="I190" s="158"/>
      <c r="J190" s="159"/>
      <c r="K190" s="269"/>
      <c r="L190" s="183"/>
      <c r="Y190" s="242"/>
    </row>
    <row r="191" spans="2:25" s="241" customFormat="1" x14ac:dyDescent="0.2">
      <c r="B191" s="133">
        <v>130</v>
      </c>
      <c r="C191" s="180" t="s">
        <v>0</v>
      </c>
      <c r="D191" s="187" t="s">
        <v>9</v>
      </c>
      <c r="E191" s="154" t="s">
        <v>162</v>
      </c>
      <c r="F191" s="155" t="s">
        <v>10</v>
      </c>
      <c r="G191" s="231">
        <v>16</v>
      </c>
      <c r="H191" s="158"/>
      <c r="I191" s="158"/>
      <c r="J191" s="159"/>
      <c r="K191" s="269"/>
      <c r="L191" s="183"/>
      <c r="Y191" s="242"/>
    </row>
    <row r="192" spans="2:25" s="88" customFormat="1" collapsed="1" x14ac:dyDescent="0.2">
      <c r="B192" s="133">
        <v>131</v>
      </c>
      <c r="C192" s="133"/>
      <c r="D192" s="134"/>
      <c r="E192" s="134" t="s">
        <v>104</v>
      </c>
      <c r="F192" s="135" t="s">
        <v>312</v>
      </c>
      <c r="G192" s="206">
        <v>1</v>
      </c>
      <c r="H192" s="136"/>
      <c r="I192" s="136"/>
      <c r="J192" s="259"/>
      <c r="K192" s="271"/>
      <c r="L192" s="131"/>
      <c r="Y192" s="172"/>
    </row>
    <row r="193" spans="2:25" s="88" customFormat="1" x14ac:dyDescent="0.2">
      <c r="B193" s="166"/>
      <c r="C193" s="166"/>
      <c r="E193" s="79"/>
      <c r="F193" s="167"/>
      <c r="H193" s="261" t="s">
        <v>72</v>
      </c>
      <c r="I193" s="218">
        <f>SUM(I182:I192)</f>
        <v>0</v>
      </c>
      <c r="J193" s="170" t="s">
        <v>75</v>
      </c>
      <c r="K193" s="171"/>
      <c r="L193" s="172"/>
      <c r="O193" s="98"/>
      <c r="P193" s="98"/>
      <c r="Q193" s="98"/>
      <c r="R193" s="98"/>
      <c r="S193" s="98"/>
      <c r="T193" s="98"/>
      <c r="W193" s="173"/>
      <c r="X193" s="173"/>
    </row>
    <row r="194" spans="2:25" x14ac:dyDescent="0.2">
      <c r="B194" s="205" t="s">
        <v>71</v>
      </c>
      <c r="C194" s="125"/>
      <c r="D194" s="79"/>
      <c r="E194" s="79"/>
      <c r="F194" s="126"/>
      <c r="G194" s="127"/>
      <c r="H194" s="128"/>
      <c r="I194" s="128"/>
      <c r="J194" s="129"/>
      <c r="K194" s="130"/>
      <c r="L194" s="131"/>
      <c r="M194" s="132"/>
      <c r="N194" s="98"/>
      <c r="O194" s="98"/>
      <c r="P194" s="98"/>
      <c r="W194" s="131"/>
      <c r="X194" s="131"/>
    </row>
    <row r="195" spans="2:25" ht="24" x14ac:dyDescent="0.2">
      <c r="B195" s="133">
        <v>132</v>
      </c>
      <c r="C195" s="133" t="s">
        <v>1</v>
      </c>
      <c r="D195" s="134">
        <v>184813511</v>
      </c>
      <c r="E195" s="134" t="s">
        <v>258</v>
      </c>
      <c r="F195" s="135" t="s">
        <v>354</v>
      </c>
      <c r="G195" s="179">
        <f>SUM(V3)</f>
        <v>34</v>
      </c>
      <c r="H195" s="136"/>
      <c r="I195" s="136"/>
      <c r="J195" s="138" t="s">
        <v>264</v>
      </c>
      <c r="K195" s="139"/>
      <c r="L195" s="131"/>
      <c r="N195" s="142"/>
      <c r="O195" s="141"/>
      <c r="P195" s="141"/>
      <c r="Q195" s="141"/>
      <c r="R195" s="141"/>
      <c r="S195" s="141"/>
      <c r="T195" s="141"/>
      <c r="W195" s="143"/>
      <c r="X195" s="143"/>
    </row>
    <row r="196" spans="2:25" s="185" customFormat="1" x14ac:dyDescent="0.2">
      <c r="B196" s="133">
        <v>133</v>
      </c>
      <c r="C196" s="180" t="s">
        <v>0</v>
      </c>
      <c r="D196" s="153">
        <v>25234001</v>
      </c>
      <c r="E196" s="154" t="s">
        <v>259</v>
      </c>
      <c r="F196" s="155" t="s">
        <v>4</v>
      </c>
      <c r="G196" s="181">
        <f>SUM(V3:X3)*0.0005</f>
        <v>1.7000000000000001E-2</v>
      </c>
      <c r="H196" s="158"/>
      <c r="I196" s="158"/>
      <c r="J196" s="159" t="s">
        <v>260</v>
      </c>
      <c r="K196" s="244"/>
      <c r="L196" s="183"/>
      <c r="O196" s="189"/>
      <c r="Y196" s="186"/>
    </row>
    <row r="197" spans="2:25" s="185" customFormat="1" ht="14.25" x14ac:dyDescent="0.2">
      <c r="B197" s="133">
        <v>134</v>
      </c>
      <c r="C197" s="180" t="s">
        <v>0</v>
      </c>
      <c r="D197" s="187" t="s">
        <v>9</v>
      </c>
      <c r="E197" s="154" t="s">
        <v>261</v>
      </c>
      <c r="F197" s="155" t="s">
        <v>365</v>
      </c>
      <c r="G197" s="181">
        <f>SUM(V3:X3)*0.00002</f>
        <v>6.8000000000000005E-4</v>
      </c>
      <c r="H197" s="158"/>
      <c r="I197" s="158"/>
      <c r="J197" s="159" t="s">
        <v>262</v>
      </c>
      <c r="K197" s="244"/>
      <c r="L197" s="183"/>
      <c r="O197" s="189"/>
      <c r="Y197" s="186"/>
    </row>
    <row r="198" spans="2:25" s="88" customFormat="1" ht="14.25" x14ac:dyDescent="0.2">
      <c r="B198" s="133">
        <v>135</v>
      </c>
      <c r="C198" s="133" t="s">
        <v>1</v>
      </c>
      <c r="D198" s="272">
        <v>183205111</v>
      </c>
      <c r="E198" s="134" t="s">
        <v>43</v>
      </c>
      <c r="F198" s="135" t="s">
        <v>352</v>
      </c>
      <c r="G198" s="250">
        <f>SUM(V3)</f>
        <v>34</v>
      </c>
      <c r="H198" s="136"/>
      <c r="I198" s="136"/>
      <c r="J198" s="273"/>
      <c r="K198" s="271"/>
      <c r="L198" s="131"/>
      <c r="Y198" s="172"/>
    </row>
    <row r="199" spans="2:25" s="88" customFormat="1" ht="24" x14ac:dyDescent="0.2">
      <c r="B199" s="133">
        <v>136</v>
      </c>
      <c r="C199" s="133" t="s">
        <v>1</v>
      </c>
      <c r="D199" s="134">
        <v>185802113</v>
      </c>
      <c r="E199" s="134" t="s">
        <v>19</v>
      </c>
      <c r="F199" s="135" t="s">
        <v>6</v>
      </c>
      <c r="G199" s="229">
        <f>SUM(V3)*0.000013</f>
        <v>4.4199999999999996E-4</v>
      </c>
      <c r="H199" s="136"/>
      <c r="I199" s="136"/>
      <c r="J199" s="274"/>
      <c r="K199" s="271"/>
      <c r="L199" s="131"/>
      <c r="Y199" s="172"/>
    </row>
    <row r="200" spans="2:25" s="241" customFormat="1" x14ac:dyDescent="0.2">
      <c r="B200" s="133">
        <v>137</v>
      </c>
      <c r="C200" s="180" t="s">
        <v>0</v>
      </c>
      <c r="D200" s="153" t="s">
        <v>9</v>
      </c>
      <c r="E200" s="154" t="s">
        <v>105</v>
      </c>
      <c r="F200" s="155" t="s">
        <v>5</v>
      </c>
      <c r="G200" s="275">
        <f>SUM(V3:X3)*0.07</f>
        <v>2.3800000000000003</v>
      </c>
      <c r="H200" s="158"/>
      <c r="I200" s="158"/>
      <c r="J200" s="159" t="s">
        <v>106</v>
      </c>
      <c r="K200" s="269"/>
      <c r="L200" s="183"/>
      <c r="Y200" s="242"/>
    </row>
    <row r="201" spans="2:25" s="88" customFormat="1" ht="24" x14ac:dyDescent="0.2">
      <c r="B201" s="133">
        <v>138</v>
      </c>
      <c r="C201" s="133" t="s">
        <v>1</v>
      </c>
      <c r="D201" s="134">
        <v>183111113</v>
      </c>
      <c r="E201" s="134" t="s">
        <v>39</v>
      </c>
      <c r="F201" s="135" t="s">
        <v>10</v>
      </c>
      <c r="G201" s="206">
        <f>SUM(V4)</f>
        <v>304</v>
      </c>
      <c r="H201" s="136"/>
      <c r="I201" s="136"/>
      <c r="J201" s="194" t="s">
        <v>257</v>
      </c>
      <c r="K201" s="271"/>
      <c r="L201" s="131"/>
      <c r="Y201" s="172"/>
    </row>
    <row r="202" spans="2:25" s="88" customFormat="1" x14ac:dyDescent="0.2">
      <c r="B202" s="133">
        <v>139</v>
      </c>
      <c r="C202" s="133" t="s">
        <v>1</v>
      </c>
      <c r="D202" s="134">
        <v>183211322</v>
      </c>
      <c r="E202" s="134" t="s">
        <v>40</v>
      </c>
      <c r="F202" s="135" t="s">
        <v>10</v>
      </c>
      <c r="G202" s="206">
        <f>SUM(V4:X4)</f>
        <v>304</v>
      </c>
      <c r="H202" s="136"/>
      <c r="I202" s="136"/>
      <c r="J202" s="194" t="s">
        <v>257</v>
      </c>
      <c r="K202" s="271"/>
      <c r="L202" s="131"/>
      <c r="Y202" s="172"/>
    </row>
    <row r="203" spans="2:25" s="88" customFormat="1" ht="14.25" x14ac:dyDescent="0.2">
      <c r="B203" s="133">
        <v>140</v>
      </c>
      <c r="C203" s="133" t="s">
        <v>1</v>
      </c>
      <c r="D203" s="134">
        <v>185804312</v>
      </c>
      <c r="E203" s="134" t="s">
        <v>88</v>
      </c>
      <c r="F203" s="135" t="s">
        <v>351</v>
      </c>
      <c r="G203" s="276">
        <f>SUM(V4:X4)*0.001</f>
        <v>0.30399999999999999</v>
      </c>
      <c r="H203" s="136"/>
      <c r="I203" s="136"/>
      <c r="J203" s="138" t="s">
        <v>89</v>
      </c>
      <c r="K203" s="271"/>
      <c r="L203" s="131"/>
      <c r="Y203" s="172"/>
    </row>
    <row r="204" spans="2:25" s="241" customFormat="1" ht="14.25" x14ac:dyDescent="0.2">
      <c r="B204" s="133">
        <v>141</v>
      </c>
      <c r="C204" s="180" t="s">
        <v>0</v>
      </c>
      <c r="D204" s="187" t="s">
        <v>9</v>
      </c>
      <c r="E204" s="154" t="s">
        <v>87</v>
      </c>
      <c r="F204" s="155" t="s">
        <v>365</v>
      </c>
      <c r="G204" s="275">
        <f>SUM(V4:X4)*0.001</f>
        <v>0.30399999999999999</v>
      </c>
      <c r="H204" s="158"/>
      <c r="I204" s="158"/>
      <c r="J204" s="138" t="s">
        <v>89</v>
      </c>
      <c r="K204" s="269"/>
      <c r="L204" s="183"/>
      <c r="Y204" s="242"/>
    </row>
    <row r="205" spans="2:25" s="88" customFormat="1" ht="14.25" x14ac:dyDescent="0.2">
      <c r="B205" s="133">
        <v>142</v>
      </c>
      <c r="C205" s="133" t="s">
        <v>1</v>
      </c>
      <c r="D205" s="134">
        <v>185851121</v>
      </c>
      <c r="E205" s="134" t="s">
        <v>42</v>
      </c>
      <c r="F205" s="135" t="s">
        <v>351</v>
      </c>
      <c r="G205" s="276">
        <f>SUM(V4:X4)*0.001*2</f>
        <v>0.60799999999999998</v>
      </c>
      <c r="H205" s="136"/>
      <c r="I205" s="136"/>
      <c r="J205" s="138" t="s">
        <v>108</v>
      </c>
      <c r="K205" s="271"/>
      <c r="L205" s="131"/>
      <c r="Y205" s="172"/>
    </row>
    <row r="206" spans="2:25" ht="14.25" x14ac:dyDescent="0.2">
      <c r="B206" s="133">
        <v>143</v>
      </c>
      <c r="C206" s="133" t="s">
        <v>1</v>
      </c>
      <c r="D206" s="134">
        <v>185851129</v>
      </c>
      <c r="E206" s="134" t="s">
        <v>34</v>
      </c>
      <c r="F206" s="135" t="s">
        <v>351</v>
      </c>
      <c r="G206" s="252">
        <f>SUM(V4:X4) * 0.001 * 10 * 2</f>
        <v>6.08</v>
      </c>
      <c r="H206" s="136"/>
      <c r="I206" s="136"/>
      <c r="J206" s="138" t="s">
        <v>293</v>
      </c>
      <c r="K206" s="176"/>
      <c r="L206" s="139"/>
      <c r="W206" s="99"/>
      <c r="X206" s="131"/>
      <c r="Y206" s="131"/>
    </row>
    <row r="207" spans="2:25" s="241" customFormat="1" x14ac:dyDescent="0.2">
      <c r="B207" s="133">
        <v>144</v>
      </c>
      <c r="C207" s="180"/>
      <c r="D207" s="154"/>
      <c r="E207" s="155" t="s">
        <v>8</v>
      </c>
      <c r="F207" s="155"/>
      <c r="G207" s="231">
        <f>SUM(G208:G233)</f>
        <v>304</v>
      </c>
      <c r="H207" s="158"/>
      <c r="I207" s="158"/>
      <c r="J207" s="159"/>
      <c r="K207" s="269"/>
      <c r="L207" s="183"/>
      <c r="Y207" s="242"/>
    </row>
    <row r="208" spans="2:25" s="241" customFormat="1" x14ac:dyDescent="0.2">
      <c r="B208" s="133">
        <v>145</v>
      </c>
      <c r="C208" s="180" t="s">
        <v>0</v>
      </c>
      <c r="D208" s="187" t="s">
        <v>9</v>
      </c>
      <c r="E208" s="154" t="s">
        <v>163</v>
      </c>
      <c r="F208" s="155" t="s">
        <v>10</v>
      </c>
      <c r="G208" s="231">
        <v>40</v>
      </c>
      <c r="H208" s="158"/>
      <c r="I208" s="158"/>
      <c r="J208" s="159" t="s">
        <v>214</v>
      </c>
      <c r="K208" s="269"/>
      <c r="L208" s="183"/>
      <c r="Y208" s="242"/>
    </row>
    <row r="209" spans="2:25" s="241" customFormat="1" x14ac:dyDescent="0.2">
      <c r="B209" s="133">
        <v>146</v>
      </c>
      <c r="C209" s="180" t="s">
        <v>0</v>
      </c>
      <c r="D209" s="187" t="s">
        <v>9</v>
      </c>
      <c r="E209" s="154" t="s">
        <v>164</v>
      </c>
      <c r="F209" s="155" t="s">
        <v>10</v>
      </c>
      <c r="G209" s="231">
        <v>19</v>
      </c>
      <c r="H209" s="158"/>
      <c r="I209" s="158"/>
      <c r="J209" s="159" t="s">
        <v>214</v>
      </c>
      <c r="K209" s="269"/>
      <c r="L209" s="183"/>
      <c r="Y209" s="242"/>
    </row>
    <row r="210" spans="2:25" s="241" customFormat="1" x14ac:dyDescent="0.2">
      <c r="B210" s="133">
        <v>147</v>
      </c>
      <c r="C210" s="180" t="s">
        <v>0</v>
      </c>
      <c r="D210" s="187" t="s">
        <v>9</v>
      </c>
      <c r="E210" s="154" t="s">
        <v>165</v>
      </c>
      <c r="F210" s="155" t="s">
        <v>10</v>
      </c>
      <c r="G210" s="231">
        <v>3</v>
      </c>
      <c r="H210" s="158"/>
      <c r="I210" s="158"/>
      <c r="J210" s="159" t="s">
        <v>214</v>
      </c>
      <c r="K210" s="269"/>
      <c r="L210" s="183"/>
      <c r="Y210" s="242"/>
    </row>
    <row r="211" spans="2:25" s="241" customFormat="1" x14ac:dyDescent="0.2">
      <c r="B211" s="133">
        <v>148</v>
      </c>
      <c r="C211" s="180" t="s">
        <v>0</v>
      </c>
      <c r="D211" s="187" t="s">
        <v>9</v>
      </c>
      <c r="E211" s="154" t="s">
        <v>166</v>
      </c>
      <c r="F211" s="155" t="s">
        <v>10</v>
      </c>
      <c r="G211" s="231">
        <v>7</v>
      </c>
      <c r="H211" s="158"/>
      <c r="I211" s="158"/>
      <c r="J211" s="159" t="s">
        <v>214</v>
      </c>
      <c r="K211" s="269"/>
      <c r="L211" s="183"/>
      <c r="Y211" s="242"/>
    </row>
    <row r="212" spans="2:25" s="241" customFormat="1" x14ac:dyDescent="0.2">
      <c r="B212" s="133">
        <v>149</v>
      </c>
      <c r="C212" s="180" t="s">
        <v>0</v>
      </c>
      <c r="D212" s="187" t="s">
        <v>9</v>
      </c>
      <c r="E212" s="154" t="s">
        <v>167</v>
      </c>
      <c r="F212" s="155" t="s">
        <v>10</v>
      </c>
      <c r="G212" s="231">
        <v>14</v>
      </c>
      <c r="H212" s="158"/>
      <c r="I212" s="158"/>
      <c r="J212" s="159" t="s">
        <v>214</v>
      </c>
      <c r="K212" s="269"/>
      <c r="L212" s="183"/>
      <c r="Y212" s="242"/>
    </row>
    <row r="213" spans="2:25" s="241" customFormat="1" x14ac:dyDescent="0.2">
      <c r="B213" s="133">
        <v>150</v>
      </c>
      <c r="C213" s="180" t="s">
        <v>0</v>
      </c>
      <c r="D213" s="187" t="s">
        <v>9</v>
      </c>
      <c r="E213" s="154" t="s">
        <v>168</v>
      </c>
      <c r="F213" s="155" t="s">
        <v>10</v>
      </c>
      <c r="G213" s="231">
        <v>5</v>
      </c>
      <c r="H213" s="158"/>
      <c r="I213" s="158"/>
      <c r="J213" s="159" t="s">
        <v>214</v>
      </c>
      <c r="K213" s="269"/>
      <c r="L213" s="183"/>
      <c r="Y213" s="242"/>
    </row>
    <row r="214" spans="2:25" s="241" customFormat="1" x14ac:dyDescent="0.2">
      <c r="B214" s="133">
        <v>151</v>
      </c>
      <c r="C214" s="180" t="s">
        <v>0</v>
      </c>
      <c r="D214" s="187" t="s">
        <v>9</v>
      </c>
      <c r="E214" s="154" t="s">
        <v>169</v>
      </c>
      <c r="F214" s="155" t="s">
        <v>10</v>
      </c>
      <c r="G214" s="231">
        <v>4</v>
      </c>
      <c r="H214" s="158"/>
      <c r="I214" s="158"/>
      <c r="J214" s="159" t="s">
        <v>214</v>
      </c>
      <c r="K214" s="269"/>
      <c r="L214" s="183"/>
      <c r="Y214" s="242"/>
    </row>
    <row r="215" spans="2:25" s="241" customFormat="1" x14ac:dyDescent="0.2">
      <c r="B215" s="133">
        <v>152</v>
      </c>
      <c r="C215" s="180" t="s">
        <v>0</v>
      </c>
      <c r="D215" s="187" t="s">
        <v>9</v>
      </c>
      <c r="E215" s="154" t="s">
        <v>170</v>
      </c>
      <c r="F215" s="155" t="s">
        <v>10</v>
      </c>
      <c r="G215" s="231">
        <v>13</v>
      </c>
      <c r="H215" s="158"/>
      <c r="I215" s="158"/>
      <c r="J215" s="159" t="s">
        <v>214</v>
      </c>
      <c r="K215" s="269"/>
      <c r="L215" s="183"/>
      <c r="Y215" s="242"/>
    </row>
    <row r="216" spans="2:25" s="241" customFormat="1" x14ac:dyDescent="0.2">
      <c r="B216" s="133">
        <v>153</v>
      </c>
      <c r="C216" s="180" t="s">
        <v>0</v>
      </c>
      <c r="D216" s="187" t="s">
        <v>9</v>
      </c>
      <c r="E216" s="154" t="s">
        <v>171</v>
      </c>
      <c r="F216" s="155" t="s">
        <v>10</v>
      </c>
      <c r="G216" s="231">
        <v>23</v>
      </c>
      <c r="H216" s="158"/>
      <c r="I216" s="158"/>
      <c r="J216" s="159" t="s">
        <v>214</v>
      </c>
      <c r="K216" s="269"/>
      <c r="L216" s="183"/>
      <c r="Y216" s="242"/>
    </row>
    <row r="217" spans="2:25" s="241" customFormat="1" x14ac:dyDescent="0.2">
      <c r="B217" s="133">
        <v>154</v>
      </c>
      <c r="C217" s="180" t="s">
        <v>0</v>
      </c>
      <c r="D217" s="187" t="s">
        <v>9</v>
      </c>
      <c r="E217" s="154" t="s">
        <v>172</v>
      </c>
      <c r="F217" s="155" t="s">
        <v>10</v>
      </c>
      <c r="G217" s="231">
        <v>27</v>
      </c>
      <c r="H217" s="158"/>
      <c r="I217" s="158"/>
      <c r="J217" s="159" t="s">
        <v>214</v>
      </c>
      <c r="K217" s="269"/>
      <c r="L217" s="183"/>
      <c r="Y217" s="242"/>
    </row>
    <row r="218" spans="2:25" s="241" customFormat="1" x14ac:dyDescent="0.2">
      <c r="B218" s="133">
        <v>155</v>
      </c>
      <c r="C218" s="180" t="s">
        <v>0</v>
      </c>
      <c r="D218" s="187" t="s">
        <v>9</v>
      </c>
      <c r="E218" s="154" t="s">
        <v>173</v>
      </c>
      <c r="F218" s="155" t="s">
        <v>10</v>
      </c>
      <c r="G218" s="231">
        <v>20</v>
      </c>
      <c r="H218" s="158"/>
      <c r="I218" s="158"/>
      <c r="J218" s="159" t="s">
        <v>214</v>
      </c>
      <c r="K218" s="269"/>
      <c r="L218" s="183"/>
      <c r="Y218" s="242"/>
    </row>
    <row r="219" spans="2:25" s="241" customFormat="1" x14ac:dyDescent="0.2">
      <c r="B219" s="133">
        <v>156</v>
      </c>
      <c r="C219" s="180" t="s">
        <v>0</v>
      </c>
      <c r="D219" s="187" t="s">
        <v>9</v>
      </c>
      <c r="E219" s="154" t="s">
        <v>174</v>
      </c>
      <c r="F219" s="155" t="s">
        <v>10</v>
      </c>
      <c r="G219" s="231">
        <v>8</v>
      </c>
      <c r="H219" s="158"/>
      <c r="I219" s="158"/>
      <c r="J219" s="159" t="s">
        <v>214</v>
      </c>
      <c r="K219" s="269"/>
      <c r="L219" s="183"/>
      <c r="Y219" s="242"/>
    </row>
    <row r="220" spans="2:25" s="241" customFormat="1" x14ac:dyDescent="0.2">
      <c r="B220" s="133">
        <v>157</v>
      </c>
      <c r="C220" s="180" t="s">
        <v>0</v>
      </c>
      <c r="D220" s="187" t="s">
        <v>9</v>
      </c>
      <c r="E220" s="154" t="s">
        <v>175</v>
      </c>
      <c r="F220" s="155" t="s">
        <v>10</v>
      </c>
      <c r="G220" s="231">
        <v>2</v>
      </c>
      <c r="H220" s="158"/>
      <c r="I220" s="158"/>
      <c r="J220" s="159" t="s">
        <v>214</v>
      </c>
      <c r="K220" s="269"/>
      <c r="L220" s="183"/>
      <c r="Y220" s="242"/>
    </row>
    <row r="221" spans="2:25" s="241" customFormat="1" x14ac:dyDescent="0.2">
      <c r="B221" s="133">
        <v>158</v>
      </c>
      <c r="C221" s="180" t="s">
        <v>0</v>
      </c>
      <c r="D221" s="187" t="s">
        <v>9</v>
      </c>
      <c r="E221" s="154" t="s">
        <v>176</v>
      </c>
      <c r="F221" s="155" t="s">
        <v>10</v>
      </c>
      <c r="G221" s="231">
        <v>22</v>
      </c>
      <c r="H221" s="158"/>
      <c r="I221" s="158"/>
      <c r="J221" s="159" t="s">
        <v>214</v>
      </c>
      <c r="K221" s="269"/>
      <c r="L221" s="183"/>
      <c r="Y221" s="242"/>
    </row>
    <row r="222" spans="2:25" s="241" customFormat="1" x14ac:dyDescent="0.2">
      <c r="B222" s="133">
        <v>159</v>
      </c>
      <c r="C222" s="180" t="s">
        <v>0</v>
      </c>
      <c r="D222" s="187" t="s">
        <v>9</v>
      </c>
      <c r="E222" s="154" t="s">
        <v>177</v>
      </c>
      <c r="F222" s="155" t="s">
        <v>10</v>
      </c>
      <c r="G222" s="231">
        <v>8</v>
      </c>
      <c r="H222" s="158"/>
      <c r="I222" s="158"/>
      <c r="J222" s="159" t="s">
        <v>214</v>
      </c>
      <c r="K222" s="269"/>
      <c r="L222" s="183"/>
      <c r="Y222" s="242"/>
    </row>
    <row r="223" spans="2:25" s="241" customFormat="1" x14ac:dyDescent="0.2">
      <c r="B223" s="133">
        <v>160</v>
      </c>
      <c r="C223" s="180" t="s">
        <v>0</v>
      </c>
      <c r="D223" s="187" t="s">
        <v>9</v>
      </c>
      <c r="E223" s="154" t="s">
        <v>178</v>
      </c>
      <c r="F223" s="155" t="s">
        <v>10</v>
      </c>
      <c r="G223" s="231">
        <v>6</v>
      </c>
      <c r="H223" s="158"/>
      <c r="I223" s="158"/>
      <c r="J223" s="159" t="s">
        <v>214</v>
      </c>
      <c r="K223" s="269"/>
      <c r="L223" s="183"/>
      <c r="Y223" s="242"/>
    </row>
    <row r="224" spans="2:25" s="241" customFormat="1" x14ac:dyDescent="0.2">
      <c r="B224" s="133">
        <v>161</v>
      </c>
      <c r="C224" s="180" t="s">
        <v>0</v>
      </c>
      <c r="D224" s="187" t="s">
        <v>9</v>
      </c>
      <c r="E224" s="154" t="s">
        <v>179</v>
      </c>
      <c r="F224" s="155" t="s">
        <v>10</v>
      </c>
      <c r="G224" s="231">
        <v>20</v>
      </c>
      <c r="H224" s="158"/>
      <c r="I224" s="158"/>
      <c r="J224" s="159" t="s">
        <v>214</v>
      </c>
      <c r="K224" s="269"/>
      <c r="L224" s="183"/>
      <c r="Y224" s="242"/>
    </row>
    <row r="225" spans="2:25" s="241" customFormat="1" x14ac:dyDescent="0.2">
      <c r="B225" s="133">
        <v>162</v>
      </c>
      <c r="C225" s="180" t="s">
        <v>0</v>
      </c>
      <c r="D225" s="187" t="s">
        <v>9</v>
      </c>
      <c r="E225" s="154" t="s">
        <v>180</v>
      </c>
      <c r="F225" s="155" t="s">
        <v>10</v>
      </c>
      <c r="G225" s="231">
        <v>1</v>
      </c>
      <c r="H225" s="158"/>
      <c r="I225" s="158"/>
      <c r="J225" s="159" t="s">
        <v>214</v>
      </c>
      <c r="K225" s="269"/>
      <c r="L225" s="183"/>
      <c r="Y225" s="242"/>
    </row>
    <row r="226" spans="2:25" s="241" customFormat="1" x14ac:dyDescent="0.2">
      <c r="B226" s="133">
        <v>163</v>
      </c>
      <c r="C226" s="180" t="s">
        <v>0</v>
      </c>
      <c r="D226" s="187" t="s">
        <v>9</v>
      </c>
      <c r="E226" s="154" t="s">
        <v>181</v>
      </c>
      <c r="F226" s="155" t="s">
        <v>10</v>
      </c>
      <c r="G226" s="231">
        <v>23</v>
      </c>
      <c r="H226" s="158"/>
      <c r="I226" s="158"/>
      <c r="J226" s="159" t="s">
        <v>214</v>
      </c>
      <c r="K226" s="269"/>
      <c r="L226" s="183"/>
      <c r="Y226" s="242"/>
    </row>
    <row r="227" spans="2:25" s="241" customFormat="1" x14ac:dyDescent="0.2">
      <c r="B227" s="133">
        <v>164</v>
      </c>
      <c r="C227" s="180" t="s">
        <v>0</v>
      </c>
      <c r="D227" s="187" t="s">
        <v>9</v>
      </c>
      <c r="E227" s="154" t="s">
        <v>182</v>
      </c>
      <c r="F227" s="155" t="s">
        <v>10</v>
      </c>
      <c r="G227" s="231">
        <v>6</v>
      </c>
      <c r="H227" s="158"/>
      <c r="I227" s="158"/>
      <c r="J227" s="159" t="s">
        <v>214</v>
      </c>
      <c r="K227" s="269"/>
      <c r="L227" s="183"/>
      <c r="Y227" s="242"/>
    </row>
    <row r="228" spans="2:25" s="241" customFormat="1" x14ac:dyDescent="0.2">
      <c r="B228" s="133">
        <v>165</v>
      </c>
      <c r="C228" s="180" t="s">
        <v>0</v>
      </c>
      <c r="D228" s="187" t="s">
        <v>9</v>
      </c>
      <c r="E228" s="154" t="s">
        <v>183</v>
      </c>
      <c r="F228" s="155" t="s">
        <v>10</v>
      </c>
      <c r="G228" s="231">
        <v>11</v>
      </c>
      <c r="H228" s="158"/>
      <c r="I228" s="158"/>
      <c r="J228" s="159" t="s">
        <v>214</v>
      </c>
      <c r="K228" s="269"/>
      <c r="L228" s="183"/>
      <c r="Y228" s="242"/>
    </row>
    <row r="229" spans="2:25" s="241" customFormat="1" x14ac:dyDescent="0.2">
      <c r="B229" s="133">
        <v>166</v>
      </c>
      <c r="C229" s="180" t="s">
        <v>0</v>
      </c>
      <c r="D229" s="187" t="s">
        <v>9</v>
      </c>
      <c r="E229" s="154" t="s">
        <v>184</v>
      </c>
      <c r="F229" s="155" t="s">
        <v>10</v>
      </c>
      <c r="G229" s="231">
        <v>6</v>
      </c>
      <c r="H229" s="158"/>
      <c r="I229" s="158"/>
      <c r="J229" s="159" t="s">
        <v>214</v>
      </c>
      <c r="K229" s="269"/>
      <c r="L229" s="183"/>
      <c r="Y229" s="242"/>
    </row>
    <row r="230" spans="2:25" s="241" customFormat="1" x14ac:dyDescent="0.2">
      <c r="B230" s="133">
        <v>167</v>
      </c>
      <c r="C230" s="180" t="s">
        <v>0</v>
      </c>
      <c r="D230" s="187" t="s">
        <v>9</v>
      </c>
      <c r="E230" s="154" t="s">
        <v>185</v>
      </c>
      <c r="F230" s="155" t="s">
        <v>10</v>
      </c>
      <c r="G230" s="231">
        <v>5</v>
      </c>
      <c r="H230" s="158"/>
      <c r="I230" s="158"/>
      <c r="J230" s="159" t="s">
        <v>214</v>
      </c>
      <c r="K230" s="269"/>
      <c r="L230" s="183"/>
      <c r="Y230" s="242"/>
    </row>
    <row r="231" spans="2:25" s="241" customFormat="1" x14ac:dyDescent="0.2">
      <c r="B231" s="133">
        <v>168</v>
      </c>
      <c r="C231" s="180" t="s">
        <v>0</v>
      </c>
      <c r="D231" s="187" t="s">
        <v>9</v>
      </c>
      <c r="E231" s="154" t="s">
        <v>186</v>
      </c>
      <c r="F231" s="155" t="s">
        <v>10</v>
      </c>
      <c r="G231" s="231">
        <v>1</v>
      </c>
      <c r="H231" s="158"/>
      <c r="I231" s="158"/>
      <c r="J231" s="159" t="s">
        <v>214</v>
      </c>
      <c r="K231" s="269"/>
      <c r="L231" s="183"/>
      <c r="Y231" s="242"/>
    </row>
    <row r="232" spans="2:25" s="241" customFormat="1" x14ac:dyDescent="0.2">
      <c r="B232" s="133">
        <v>169</v>
      </c>
      <c r="C232" s="180" t="s">
        <v>0</v>
      </c>
      <c r="D232" s="187" t="s">
        <v>9</v>
      </c>
      <c r="E232" s="154" t="s">
        <v>187</v>
      </c>
      <c r="F232" s="155" t="s">
        <v>10</v>
      </c>
      <c r="G232" s="231">
        <v>3</v>
      </c>
      <c r="H232" s="158"/>
      <c r="I232" s="158"/>
      <c r="J232" s="159" t="s">
        <v>214</v>
      </c>
      <c r="K232" s="269"/>
      <c r="L232" s="183"/>
      <c r="Y232" s="242"/>
    </row>
    <row r="233" spans="2:25" s="241" customFormat="1" x14ac:dyDescent="0.2">
      <c r="B233" s="133">
        <v>170</v>
      </c>
      <c r="C233" s="180" t="s">
        <v>0</v>
      </c>
      <c r="D233" s="187" t="s">
        <v>9</v>
      </c>
      <c r="E233" s="154" t="s">
        <v>188</v>
      </c>
      <c r="F233" s="155" t="s">
        <v>10</v>
      </c>
      <c r="G233" s="231">
        <v>7</v>
      </c>
      <c r="H233" s="158"/>
      <c r="I233" s="158"/>
      <c r="J233" s="159" t="s">
        <v>214</v>
      </c>
      <c r="K233" s="269"/>
      <c r="L233" s="183"/>
      <c r="Y233" s="242"/>
    </row>
    <row r="234" spans="2:25" s="88" customFormat="1" collapsed="1" x14ac:dyDescent="0.2">
      <c r="B234" s="133">
        <v>171</v>
      </c>
      <c r="C234" s="133" t="s">
        <v>1</v>
      </c>
      <c r="D234" s="133"/>
      <c r="E234" s="134" t="s">
        <v>104</v>
      </c>
      <c r="F234" s="135" t="s">
        <v>312</v>
      </c>
      <c r="G234" s="206">
        <v>1</v>
      </c>
      <c r="H234" s="136"/>
      <c r="I234" s="136"/>
      <c r="J234" s="194" t="s">
        <v>254</v>
      </c>
      <c r="K234" s="271"/>
      <c r="L234" s="131"/>
      <c r="Y234" s="172"/>
    </row>
    <row r="235" spans="2:25" s="191" customFormat="1" ht="24" x14ac:dyDescent="0.2">
      <c r="B235" s="133">
        <v>172</v>
      </c>
      <c r="C235" s="133" t="s">
        <v>1</v>
      </c>
      <c r="D235" s="200">
        <v>119005121</v>
      </c>
      <c r="E235" s="134" t="s">
        <v>57</v>
      </c>
      <c r="F235" s="135" t="s">
        <v>354</v>
      </c>
      <c r="G235" s="177">
        <f>SUM(V3:X3)</f>
        <v>34</v>
      </c>
      <c r="H235" s="136"/>
      <c r="I235" s="136"/>
      <c r="J235" s="194" t="s">
        <v>256</v>
      </c>
      <c r="K235" s="260"/>
      <c r="L235" s="131"/>
      <c r="O235" s="258"/>
      <c r="Y235" s="192"/>
    </row>
    <row r="236" spans="2:25" s="88" customFormat="1" x14ac:dyDescent="0.2">
      <c r="B236" s="166"/>
      <c r="C236" s="166"/>
      <c r="E236" s="79"/>
      <c r="F236" s="167"/>
      <c r="H236" s="261" t="s">
        <v>71</v>
      </c>
      <c r="I236" s="218">
        <f>SUM(I195:I235)</f>
        <v>0</v>
      </c>
      <c r="J236" s="170" t="s">
        <v>75</v>
      </c>
      <c r="K236" s="171"/>
      <c r="L236" s="172"/>
      <c r="O236" s="98"/>
      <c r="P236" s="98"/>
      <c r="Q236" s="98"/>
      <c r="R236" s="98"/>
      <c r="S236" s="98"/>
      <c r="T236" s="98"/>
      <c r="W236" s="173"/>
      <c r="X236" s="173"/>
    </row>
    <row r="237" spans="2:25" s="88" customFormat="1" x14ac:dyDescent="0.2">
      <c r="B237" s="277"/>
      <c r="C237" s="277"/>
      <c r="D237" s="278"/>
      <c r="E237" s="79"/>
      <c r="F237" s="279"/>
      <c r="G237" s="280"/>
      <c r="H237" s="281"/>
      <c r="I237" s="281"/>
      <c r="J237" s="282"/>
      <c r="K237" s="283"/>
      <c r="L237" s="131"/>
      <c r="O237" s="99"/>
      <c r="P237" s="99"/>
      <c r="S237" s="99"/>
      <c r="T237" s="99"/>
      <c r="W237" s="140"/>
      <c r="X237" s="140"/>
    </row>
    <row r="238" spans="2:25" x14ac:dyDescent="0.2">
      <c r="B238" s="205" t="s">
        <v>70</v>
      </c>
      <c r="C238" s="125"/>
      <c r="D238" s="79"/>
      <c r="E238" s="79"/>
      <c r="F238" s="126"/>
      <c r="G238" s="127"/>
      <c r="H238" s="128"/>
      <c r="I238" s="128"/>
      <c r="J238" s="129"/>
      <c r="K238" s="130"/>
      <c r="L238" s="131"/>
      <c r="M238" s="132"/>
      <c r="N238" s="98"/>
      <c r="O238" s="98"/>
      <c r="P238" s="98"/>
      <c r="W238" s="131"/>
      <c r="X238" s="131"/>
    </row>
    <row r="239" spans="2:25" ht="24" x14ac:dyDescent="0.2">
      <c r="B239" s="133">
        <v>173</v>
      </c>
      <c r="C239" s="133" t="s">
        <v>1</v>
      </c>
      <c r="D239" s="134">
        <v>184813511</v>
      </c>
      <c r="E239" s="134" t="s">
        <v>258</v>
      </c>
      <c r="F239" s="135" t="s">
        <v>354</v>
      </c>
      <c r="G239" s="179">
        <f>SUM(V5)</f>
        <v>1090</v>
      </c>
      <c r="H239" s="136"/>
      <c r="I239" s="136"/>
      <c r="J239" s="138" t="s">
        <v>263</v>
      </c>
      <c r="K239" s="139"/>
      <c r="L239" s="131"/>
      <c r="N239" s="142"/>
      <c r="O239" s="141"/>
      <c r="P239" s="141"/>
      <c r="Q239" s="141"/>
      <c r="R239" s="141"/>
      <c r="S239" s="141"/>
      <c r="T239" s="141"/>
      <c r="W239" s="143"/>
      <c r="X239" s="143"/>
    </row>
    <row r="240" spans="2:25" s="185" customFormat="1" x14ac:dyDescent="0.2">
      <c r="B240" s="133">
        <v>174</v>
      </c>
      <c r="C240" s="180" t="s">
        <v>0</v>
      </c>
      <c r="D240" s="153">
        <v>25234001</v>
      </c>
      <c r="E240" s="154" t="s">
        <v>259</v>
      </c>
      <c r="F240" s="155" t="s">
        <v>4</v>
      </c>
      <c r="G240" s="181">
        <f>SUM(V5:X5)*0.0005</f>
        <v>0.54500000000000004</v>
      </c>
      <c r="H240" s="158"/>
      <c r="I240" s="158"/>
      <c r="J240" s="159" t="s">
        <v>260</v>
      </c>
      <c r="K240" s="188"/>
      <c r="L240" s="183"/>
      <c r="W240" s="184"/>
      <c r="X240" s="184"/>
    </row>
    <row r="241" spans="2:24" s="185" customFormat="1" ht="14.25" x14ac:dyDescent="0.2">
      <c r="B241" s="133">
        <v>175</v>
      </c>
      <c r="C241" s="180" t="s">
        <v>0</v>
      </c>
      <c r="D241" s="187" t="s">
        <v>9</v>
      </c>
      <c r="E241" s="154" t="s">
        <v>261</v>
      </c>
      <c r="F241" s="155" t="s">
        <v>365</v>
      </c>
      <c r="G241" s="181">
        <f>SUM(V5:X5)*0.00002</f>
        <v>2.1800000000000003E-2</v>
      </c>
      <c r="H241" s="158"/>
      <c r="I241" s="158"/>
      <c r="J241" s="159" t="s">
        <v>262</v>
      </c>
      <c r="K241" s="188"/>
      <c r="L241" s="183"/>
      <c r="N241" s="189"/>
      <c r="W241" s="184"/>
      <c r="X241" s="184"/>
    </row>
    <row r="242" spans="2:24" ht="14.25" x14ac:dyDescent="0.2">
      <c r="B242" s="133">
        <v>176</v>
      </c>
      <c r="C242" s="133" t="s">
        <v>1</v>
      </c>
      <c r="D242" s="134">
        <v>183403114</v>
      </c>
      <c r="E242" s="134" t="s">
        <v>375</v>
      </c>
      <c r="F242" s="135" t="s">
        <v>354</v>
      </c>
      <c r="G242" s="179">
        <f>SUM(V5)*3</f>
        <v>3270</v>
      </c>
      <c r="H242" s="136"/>
      <c r="I242" s="136"/>
      <c r="J242" s="138" t="s">
        <v>82</v>
      </c>
      <c r="K242" s="190"/>
      <c r="L242" s="131"/>
      <c r="O242" s="191"/>
      <c r="P242" s="191"/>
      <c r="S242" s="191"/>
      <c r="T242" s="191"/>
      <c r="W242" s="192"/>
      <c r="X242" s="192"/>
    </row>
    <row r="243" spans="2:24" ht="14.25" x14ac:dyDescent="0.2">
      <c r="B243" s="133">
        <v>177</v>
      </c>
      <c r="C243" s="133" t="s">
        <v>1</v>
      </c>
      <c r="D243" s="134">
        <v>183403152</v>
      </c>
      <c r="E243" s="134" t="s">
        <v>376</v>
      </c>
      <c r="F243" s="135" t="s">
        <v>354</v>
      </c>
      <c r="G243" s="179">
        <f>SUM(V5)*2</f>
        <v>2180</v>
      </c>
      <c r="H243" s="136"/>
      <c r="I243" s="136"/>
      <c r="J243" s="138" t="s">
        <v>84</v>
      </c>
      <c r="K243" s="190"/>
      <c r="L243" s="131"/>
      <c r="O243" s="191"/>
      <c r="P243" s="191"/>
      <c r="S243" s="191"/>
      <c r="T243" s="191"/>
      <c r="W243" s="192"/>
      <c r="X243" s="192"/>
    </row>
    <row r="244" spans="2:24" ht="14.25" x14ac:dyDescent="0.2">
      <c r="B244" s="133">
        <v>178</v>
      </c>
      <c r="C244" s="133" t="s">
        <v>1</v>
      </c>
      <c r="D244" s="134">
        <v>183403153</v>
      </c>
      <c r="E244" s="134" t="s">
        <v>377</v>
      </c>
      <c r="F244" s="135" t="s">
        <v>354</v>
      </c>
      <c r="G244" s="179">
        <f>SUM(V5)*2</f>
        <v>2180</v>
      </c>
      <c r="H244" s="136"/>
      <c r="I244" s="136"/>
      <c r="J244" s="138" t="s">
        <v>84</v>
      </c>
      <c r="K244" s="190"/>
      <c r="L244" s="131"/>
      <c r="O244" s="191"/>
      <c r="P244" s="191"/>
      <c r="S244" s="191"/>
      <c r="T244" s="191"/>
      <c r="W244" s="192"/>
      <c r="X244" s="192"/>
    </row>
    <row r="245" spans="2:24" ht="24" x14ac:dyDescent="0.2">
      <c r="B245" s="133">
        <v>179</v>
      </c>
      <c r="C245" s="133" t="s">
        <v>1</v>
      </c>
      <c r="D245" s="134">
        <v>181451131</v>
      </c>
      <c r="E245" s="134" t="s">
        <v>378</v>
      </c>
      <c r="F245" s="135" t="s">
        <v>354</v>
      </c>
      <c r="G245" s="179">
        <f>SUM(V5)</f>
        <v>1090</v>
      </c>
      <c r="H245" s="138"/>
      <c r="I245" s="136"/>
      <c r="J245" s="259"/>
      <c r="K245" s="190"/>
      <c r="L245" s="131"/>
      <c r="O245" s="191"/>
      <c r="P245" s="191"/>
      <c r="S245" s="191"/>
      <c r="T245" s="191"/>
      <c r="W245" s="192"/>
      <c r="X245" s="192"/>
    </row>
    <row r="246" spans="2:24" s="185" customFormat="1" x14ac:dyDescent="0.2">
      <c r="B246" s="133">
        <v>180</v>
      </c>
      <c r="C246" s="180" t="s">
        <v>0</v>
      </c>
      <c r="D246" s="284" t="s">
        <v>59</v>
      </c>
      <c r="E246" s="154" t="s">
        <v>51</v>
      </c>
      <c r="F246" s="155" t="s">
        <v>5</v>
      </c>
      <c r="G246" s="156">
        <f>SUM(V5:X5)*0.03</f>
        <v>32.699999999999996</v>
      </c>
      <c r="H246" s="158"/>
      <c r="I246" s="158"/>
      <c r="J246" s="159" t="s">
        <v>83</v>
      </c>
      <c r="K246" s="188"/>
      <c r="L246" s="183"/>
      <c r="W246" s="184"/>
      <c r="X246" s="184"/>
    </row>
    <row r="247" spans="2:24" ht="14.25" x14ac:dyDescent="0.2">
      <c r="B247" s="133">
        <v>181</v>
      </c>
      <c r="C247" s="133" t="s">
        <v>1</v>
      </c>
      <c r="D247" s="134">
        <v>183403161</v>
      </c>
      <c r="E247" s="134" t="s">
        <v>379</v>
      </c>
      <c r="F247" s="135" t="s">
        <v>354</v>
      </c>
      <c r="G247" s="177">
        <f>SUM(V5)*2</f>
        <v>2180</v>
      </c>
      <c r="H247" s="138"/>
      <c r="I247" s="136"/>
      <c r="J247" s="138" t="s">
        <v>84</v>
      </c>
      <c r="K247" s="190"/>
      <c r="L247" s="131"/>
      <c r="O247" s="191"/>
      <c r="P247" s="191"/>
      <c r="S247" s="191"/>
      <c r="T247" s="191"/>
      <c r="W247" s="192"/>
      <c r="X247" s="192"/>
    </row>
    <row r="248" spans="2:24" s="88" customFormat="1" x14ac:dyDescent="0.2">
      <c r="B248" s="166"/>
      <c r="C248" s="166"/>
      <c r="E248" s="79"/>
      <c r="F248" s="167"/>
      <c r="H248" s="261" t="s">
        <v>70</v>
      </c>
      <c r="I248" s="218">
        <f>SUM(I239:I247)</f>
        <v>0</v>
      </c>
      <c r="J248" s="170" t="s">
        <v>75</v>
      </c>
      <c r="K248" s="171"/>
      <c r="L248" s="172"/>
      <c r="O248" s="98"/>
      <c r="P248" s="98"/>
      <c r="Q248" s="98"/>
      <c r="R248" s="98"/>
      <c r="S248" s="98"/>
      <c r="T248" s="98"/>
      <c r="W248" s="173"/>
      <c r="X248" s="173"/>
    </row>
    <row r="249" spans="2:24" s="88" customFormat="1" x14ac:dyDescent="0.2">
      <c r="B249" s="166"/>
      <c r="C249" s="166"/>
      <c r="E249" s="285"/>
      <c r="F249" s="167"/>
      <c r="G249" s="286"/>
      <c r="H249" s="286"/>
      <c r="I249" s="281"/>
      <c r="J249" s="282"/>
      <c r="K249" s="283"/>
      <c r="L249" s="172"/>
      <c r="O249" s="191"/>
      <c r="P249" s="191"/>
      <c r="S249" s="191"/>
      <c r="T249" s="191"/>
      <c r="W249" s="192"/>
      <c r="X249" s="192"/>
    </row>
    <row r="250" spans="2:24" s="88" customFormat="1" x14ac:dyDescent="0.2">
      <c r="B250" s="166"/>
      <c r="C250" s="166"/>
      <c r="E250" s="79"/>
      <c r="F250" s="167"/>
      <c r="H250" s="261" t="s">
        <v>195</v>
      </c>
      <c r="I250" s="169">
        <f>SUM(I248,I236,I193,I180,I117,I64)</f>
        <v>0</v>
      </c>
      <c r="J250" s="170" t="s">
        <v>75</v>
      </c>
      <c r="K250" s="171"/>
      <c r="L250" s="172"/>
      <c r="O250" s="98"/>
      <c r="P250" s="98"/>
      <c r="Q250" s="98"/>
      <c r="R250" s="98"/>
      <c r="S250" s="98"/>
      <c r="T250" s="98"/>
      <c r="W250" s="173"/>
      <c r="X250" s="173"/>
    </row>
    <row r="251" spans="2:24" s="88" customFormat="1" x14ac:dyDescent="0.2">
      <c r="B251" s="287"/>
      <c r="C251" s="287"/>
      <c r="D251" s="288"/>
      <c r="E251" s="289"/>
      <c r="F251" s="290"/>
      <c r="G251" s="291"/>
      <c r="H251" s="291"/>
      <c r="I251" s="292"/>
      <c r="J251" s="293"/>
      <c r="K251" s="283"/>
      <c r="L251" s="172"/>
      <c r="O251" s="191"/>
      <c r="P251" s="191"/>
      <c r="S251" s="191"/>
      <c r="T251" s="191"/>
      <c r="W251" s="192"/>
      <c r="X251" s="192"/>
    </row>
    <row r="252" spans="2:24" s="88" customFormat="1" x14ac:dyDescent="0.2">
      <c r="B252" s="166"/>
      <c r="C252" s="166"/>
      <c r="E252" s="285"/>
      <c r="F252" s="167"/>
      <c r="G252" s="286"/>
      <c r="H252" s="286"/>
      <c r="I252" s="281"/>
      <c r="J252" s="282"/>
      <c r="K252" s="283"/>
      <c r="L252" s="172"/>
      <c r="O252" s="191"/>
      <c r="P252" s="191"/>
      <c r="S252" s="191"/>
      <c r="T252" s="191"/>
      <c r="W252" s="192"/>
      <c r="X252" s="192"/>
    </row>
    <row r="253" spans="2:24" ht="15" x14ac:dyDescent="0.2">
      <c r="E253" s="126"/>
      <c r="G253" s="294"/>
      <c r="H253" s="314" t="s">
        <v>76</v>
      </c>
      <c r="I253" s="314">
        <f>SUM(I250,I50,I40,I26)</f>
        <v>0</v>
      </c>
      <c r="J253" s="315" t="s">
        <v>75</v>
      </c>
      <c r="L253" s="131"/>
      <c r="N253" s="142"/>
      <c r="O253" s="191"/>
      <c r="P253" s="191"/>
      <c r="S253" s="191"/>
      <c r="T253" s="191"/>
      <c r="W253" s="192"/>
      <c r="X253" s="192"/>
    </row>
    <row r="254" spans="2:24" ht="15" x14ac:dyDescent="0.2">
      <c r="G254" s="294"/>
      <c r="H254" s="316"/>
      <c r="I254" s="317"/>
      <c r="J254" s="318"/>
      <c r="N254" s="142"/>
      <c r="O254" s="191"/>
      <c r="P254" s="191"/>
      <c r="S254" s="191"/>
      <c r="T254" s="191"/>
      <c r="W254" s="192"/>
      <c r="X254" s="192"/>
    </row>
    <row r="255" spans="2:24" ht="15" x14ac:dyDescent="0.2">
      <c r="H255" s="314" t="s">
        <v>76</v>
      </c>
      <c r="I255" s="319">
        <f>SUM(I253)*1.21</f>
        <v>0</v>
      </c>
      <c r="J255" s="315" t="s">
        <v>127</v>
      </c>
      <c r="L255" s="131"/>
      <c r="N255" s="142"/>
      <c r="O255" s="191"/>
      <c r="P255" s="191"/>
      <c r="S255" s="191"/>
      <c r="T255" s="191"/>
      <c r="W255" s="192"/>
      <c r="X255" s="192"/>
    </row>
    <row r="256" spans="2:24" x14ac:dyDescent="0.2">
      <c r="N256" s="142"/>
      <c r="O256" s="191"/>
      <c r="P256" s="191"/>
      <c r="S256" s="191"/>
      <c r="T256" s="191"/>
      <c r="W256" s="192"/>
      <c r="X256" s="192"/>
    </row>
    <row r="257" spans="2:26" x14ac:dyDescent="0.2">
      <c r="B257" s="174" t="s">
        <v>238</v>
      </c>
      <c r="N257" s="142"/>
      <c r="O257" s="191"/>
      <c r="P257" s="191"/>
      <c r="S257" s="191"/>
      <c r="T257" s="191"/>
      <c r="W257" s="192"/>
      <c r="X257" s="192"/>
    </row>
    <row r="258" spans="2:26" x14ac:dyDescent="0.2">
      <c r="B258" s="174" t="s">
        <v>109</v>
      </c>
      <c r="E258" s="296"/>
      <c r="F258" s="297"/>
      <c r="G258" s="298"/>
      <c r="H258" s="299"/>
      <c r="I258" s="300"/>
      <c r="J258" s="300"/>
      <c r="K258" s="301"/>
      <c r="L258" s="298"/>
      <c r="N258" s="142"/>
      <c r="O258" s="88"/>
      <c r="P258" s="88"/>
      <c r="S258" s="88"/>
      <c r="T258" s="88"/>
      <c r="W258" s="172"/>
      <c r="X258" s="172"/>
    </row>
    <row r="259" spans="2:26" x14ac:dyDescent="0.2">
      <c r="B259" s="174"/>
      <c r="C259" s="174"/>
      <c r="D259" s="174"/>
      <c r="E259" s="302"/>
      <c r="F259" s="303"/>
      <c r="G259" s="174"/>
      <c r="H259" s="174"/>
      <c r="I259" s="174"/>
      <c r="J259" s="304"/>
      <c r="K259" s="85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Z259" s="142"/>
    </row>
    <row r="260" spans="2:26" x14ac:dyDescent="0.15">
      <c r="D260" s="320"/>
      <c r="E260" s="320"/>
      <c r="F260" s="320"/>
      <c r="G260" s="320"/>
      <c r="H260" s="320"/>
      <c r="I260" s="320"/>
      <c r="J260" s="320"/>
      <c r="K260" s="320"/>
      <c r="L260" s="78"/>
      <c r="N260" s="142"/>
      <c r="O260" s="88"/>
      <c r="P260" s="88"/>
      <c r="S260" s="88"/>
      <c r="T260" s="88"/>
      <c r="W260" s="172"/>
      <c r="X260" s="172"/>
    </row>
    <row r="261" spans="2:26" x14ac:dyDescent="0.2">
      <c r="N261" s="142"/>
      <c r="O261" s="88"/>
      <c r="P261" s="88"/>
      <c r="S261" s="88"/>
      <c r="T261" s="88"/>
      <c r="W261" s="172"/>
      <c r="X261" s="172"/>
    </row>
    <row r="262" spans="2:26" x14ac:dyDescent="0.2">
      <c r="N262" s="142"/>
      <c r="O262" s="88"/>
      <c r="P262" s="88"/>
      <c r="S262" s="88"/>
      <c r="T262" s="88"/>
      <c r="W262" s="172"/>
      <c r="X262" s="172"/>
    </row>
    <row r="263" spans="2:26" x14ac:dyDescent="0.2">
      <c r="N263" s="142"/>
      <c r="O263" s="88"/>
      <c r="P263" s="88"/>
      <c r="S263" s="88"/>
      <c r="T263" s="88"/>
      <c r="W263" s="172"/>
      <c r="X263" s="172"/>
    </row>
    <row r="264" spans="2:26" x14ac:dyDescent="0.2">
      <c r="N264" s="142"/>
      <c r="O264" s="88"/>
      <c r="P264" s="88"/>
      <c r="S264" s="88"/>
      <c r="T264" s="88"/>
      <c r="W264" s="172"/>
      <c r="X264" s="172"/>
    </row>
    <row r="265" spans="2:26" x14ac:dyDescent="0.2">
      <c r="E265" s="305"/>
      <c r="N265" s="142"/>
      <c r="O265" s="88"/>
      <c r="P265" s="88"/>
      <c r="S265" s="88"/>
      <c r="T265" s="88"/>
      <c r="W265" s="172"/>
      <c r="X265" s="172"/>
    </row>
    <row r="266" spans="2:26" x14ac:dyDescent="0.2">
      <c r="E266" s="306"/>
      <c r="N266" s="142"/>
      <c r="O266" s="88"/>
      <c r="P266" s="88"/>
      <c r="S266" s="88"/>
      <c r="T266" s="88"/>
      <c r="W266" s="172"/>
      <c r="X266" s="172"/>
    </row>
    <row r="267" spans="2:26" x14ac:dyDescent="0.2">
      <c r="E267" s="307"/>
      <c r="N267" s="142"/>
      <c r="O267" s="88"/>
      <c r="P267" s="88"/>
      <c r="S267" s="88"/>
      <c r="T267" s="88"/>
      <c r="W267" s="172"/>
      <c r="X267" s="172"/>
    </row>
    <row r="268" spans="2:26" x14ac:dyDescent="0.2">
      <c r="N268" s="142"/>
      <c r="O268" s="88"/>
      <c r="P268" s="88"/>
      <c r="S268" s="88"/>
      <c r="T268" s="88"/>
      <c r="W268" s="172"/>
      <c r="X268" s="172"/>
    </row>
    <row r="269" spans="2:26" x14ac:dyDescent="0.2">
      <c r="N269" s="142"/>
      <c r="O269" s="88"/>
      <c r="P269" s="88"/>
      <c r="S269" s="88"/>
      <c r="T269" s="88"/>
      <c r="W269" s="172"/>
      <c r="X269" s="172"/>
    </row>
    <row r="270" spans="2:26" x14ac:dyDescent="0.2">
      <c r="E270" s="305"/>
      <c r="N270" s="142"/>
      <c r="O270" s="88"/>
      <c r="P270" s="88"/>
      <c r="S270" s="88"/>
      <c r="T270" s="88"/>
      <c r="W270" s="172"/>
      <c r="X270" s="172"/>
    </row>
    <row r="271" spans="2:26" x14ac:dyDescent="0.2">
      <c r="N271" s="142"/>
      <c r="O271" s="88"/>
      <c r="P271" s="88"/>
      <c r="S271" s="88"/>
      <c r="T271" s="88"/>
      <c r="W271" s="172"/>
      <c r="X271" s="172"/>
    </row>
    <row r="272" spans="2:26" x14ac:dyDescent="0.2">
      <c r="N272" s="142"/>
      <c r="O272" s="88"/>
      <c r="P272" s="88"/>
      <c r="S272" s="88"/>
      <c r="T272" s="88"/>
      <c r="W272" s="172"/>
      <c r="X272" s="172"/>
    </row>
    <row r="273" spans="15:24" x14ac:dyDescent="0.2">
      <c r="O273" s="88"/>
      <c r="P273" s="88"/>
      <c r="S273" s="88"/>
      <c r="T273" s="88"/>
      <c r="W273" s="172"/>
      <c r="X273" s="172"/>
    </row>
    <row r="274" spans="15:24" x14ac:dyDescent="0.2">
      <c r="O274" s="88"/>
      <c r="P274" s="88"/>
      <c r="S274" s="88"/>
      <c r="T274" s="88"/>
      <c r="W274" s="172"/>
      <c r="X274" s="172"/>
    </row>
    <row r="275" spans="15:24" x14ac:dyDescent="0.2">
      <c r="O275" s="88"/>
      <c r="P275" s="88"/>
      <c r="S275" s="88"/>
      <c r="T275" s="88"/>
      <c r="W275" s="172"/>
      <c r="X275" s="172"/>
    </row>
    <row r="276" spans="15:24" x14ac:dyDescent="0.2">
      <c r="O276" s="88"/>
      <c r="P276" s="88"/>
      <c r="S276" s="88"/>
      <c r="T276" s="88"/>
      <c r="W276" s="172"/>
      <c r="X276" s="172"/>
    </row>
    <row r="277" spans="15:24" x14ac:dyDescent="0.2">
      <c r="O277" s="88"/>
      <c r="P277" s="88"/>
      <c r="S277" s="88"/>
      <c r="T277" s="88"/>
      <c r="W277" s="172"/>
      <c r="X277" s="172"/>
    </row>
    <row r="278" spans="15:24" x14ac:dyDescent="0.2">
      <c r="O278" s="88"/>
      <c r="P278" s="88"/>
      <c r="S278" s="88"/>
      <c r="T278" s="88"/>
      <c r="W278" s="172"/>
      <c r="X278" s="172"/>
    </row>
    <row r="279" spans="15:24" x14ac:dyDescent="0.2">
      <c r="O279" s="88"/>
      <c r="P279" s="88"/>
      <c r="S279" s="88"/>
      <c r="T279" s="88"/>
      <c r="W279" s="172"/>
      <c r="X279" s="172"/>
    </row>
    <row r="280" spans="15:24" x14ac:dyDescent="0.2">
      <c r="O280" s="88"/>
      <c r="P280" s="88"/>
      <c r="S280" s="88"/>
      <c r="T280" s="88"/>
      <c r="W280" s="172"/>
      <c r="X280" s="172"/>
    </row>
    <row r="281" spans="15:24" x14ac:dyDescent="0.2">
      <c r="O281" s="88"/>
      <c r="P281" s="88"/>
      <c r="S281" s="88"/>
      <c r="T281" s="88"/>
      <c r="W281" s="172"/>
      <c r="X281" s="172"/>
    </row>
    <row r="282" spans="15:24" x14ac:dyDescent="0.2">
      <c r="O282" s="88"/>
      <c r="P282" s="88"/>
      <c r="S282" s="88"/>
      <c r="T282" s="88"/>
      <c r="W282" s="172"/>
      <c r="X282" s="172"/>
    </row>
    <row r="283" spans="15:24" x14ac:dyDescent="0.2">
      <c r="O283" s="88"/>
      <c r="P283" s="88"/>
      <c r="S283" s="88"/>
      <c r="T283" s="88"/>
      <c r="W283" s="172"/>
      <c r="X283" s="172"/>
    </row>
    <row r="284" spans="15:24" x14ac:dyDescent="0.2">
      <c r="O284" s="88"/>
      <c r="P284" s="88"/>
      <c r="S284" s="88"/>
      <c r="T284" s="88"/>
      <c r="W284" s="172"/>
      <c r="X284" s="172"/>
    </row>
    <row r="285" spans="15:24" x14ac:dyDescent="0.2">
      <c r="O285" s="88"/>
      <c r="P285" s="88"/>
      <c r="S285" s="88"/>
      <c r="T285" s="88"/>
      <c r="W285" s="172"/>
      <c r="X285" s="172"/>
    </row>
    <row r="286" spans="15:24" x14ac:dyDescent="0.2">
      <c r="O286" s="88"/>
      <c r="P286" s="88"/>
      <c r="S286" s="88"/>
      <c r="T286" s="88"/>
      <c r="W286" s="172"/>
      <c r="X286" s="172"/>
    </row>
    <row r="287" spans="15:24" x14ac:dyDescent="0.2">
      <c r="O287" s="88"/>
      <c r="P287" s="88"/>
      <c r="S287" s="88"/>
      <c r="T287" s="88"/>
      <c r="W287" s="172"/>
      <c r="X287" s="172"/>
    </row>
    <row r="288" spans="15:24" x14ac:dyDescent="0.2">
      <c r="O288" s="88"/>
      <c r="P288" s="88"/>
      <c r="S288" s="88"/>
      <c r="T288" s="88"/>
      <c r="W288" s="172"/>
      <c r="X288" s="172"/>
    </row>
    <row r="289" spans="15:24" x14ac:dyDescent="0.2">
      <c r="O289" s="88"/>
      <c r="P289" s="88"/>
      <c r="S289" s="88"/>
      <c r="T289" s="88"/>
      <c r="W289" s="172"/>
      <c r="X289" s="172"/>
    </row>
    <row r="290" spans="15:24" x14ac:dyDescent="0.2">
      <c r="O290" s="88"/>
      <c r="P290" s="88"/>
      <c r="S290" s="88"/>
      <c r="T290" s="88"/>
      <c r="W290" s="172"/>
      <c r="X290" s="172"/>
    </row>
    <row r="291" spans="15:24" x14ac:dyDescent="0.2">
      <c r="O291" s="88"/>
      <c r="P291" s="88"/>
      <c r="S291" s="88"/>
      <c r="T291" s="88"/>
      <c r="W291" s="172"/>
      <c r="X291" s="172"/>
    </row>
    <row r="292" spans="15:24" x14ac:dyDescent="0.2">
      <c r="O292" s="88"/>
      <c r="P292" s="88"/>
      <c r="S292" s="88"/>
      <c r="T292" s="88"/>
      <c r="W292" s="172"/>
      <c r="X292" s="172"/>
    </row>
    <row r="293" spans="15:24" x14ac:dyDescent="0.2">
      <c r="O293" s="88"/>
      <c r="P293" s="88"/>
      <c r="S293" s="88"/>
      <c r="T293" s="88"/>
      <c r="W293" s="172"/>
      <c r="X293" s="172"/>
    </row>
    <row r="294" spans="15:24" x14ac:dyDescent="0.2">
      <c r="O294" s="88"/>
      <c r="P294" s="88"/>
      <c r="S294" s="88"/>
      <c r="T294" s="88"/>
      <c r="W294" s="172"/>
      <c r="X294" s="172"/>
    </row>
    <row r="295" spans="15:24" x14ac:dyDescent="0.2">
      <c r="O295" s="88"/>
      <c r="P295" s="88"/>
      <c r="S295" s="88"/>
      <c r="T295" s="88"/>
      <c r="W295" s="172"/>
      <c r="X295" s="172"/>
    </row>
    <row r="296" spans="15:24" x14ac:dyDescent="0.2">
      <c r="O296" s="88"/>
      <c r="P296" s="88"/>
      <c r="S296" s="88"/>
      <c r="T296" s="88"/>
      <c r="W296" s="172"/>
      <c r="X296" s="172"/>
    </row>
    <row r="297" spans="15:24" x14ac:dyDescent="0.2">
      <c r="O297" s="88"/>
      <c r="P297" s="88"/>
      <c r="S297" s="88"/>
      <c r="T297" s="88"/>
      <c r="W297" s="172"/>
      <c r="X297" s="172"/>
    </row>
    <row r="298" spans="15:24" x14ac:dyDescent="0.2">
      <c r="O298" s="88"/>
      <c r="P298" s="88"/>
      <c r="S298" s="88"/>
      <c r="T298" s="88"/>
      <c r="W298" s="172"/>
      <c r="X298" s="172"/>
    </row>
    <row r="299" spans="15:24" x14ac:dyDescent="0.2">
      <c r="O299" s="88"/>
      <c r="P299" s="88"/>
      <c r="S299" s="88"/>
      <c r="T299" s="88"/>
      <c r="W299" s="172"/>
      <c r="X299" s="172"/>
    </row>
    <row r="300" spans="15:24" x14ac:dyDescent="0.2">
      <c r="O300" s="88"/>
      <c r="P300" s="88"/>
      <c r="S300" s="88"/>
      <c r="T300" s="88"/>
      <c r="W300" s="172"/>
      <c r="X300" s="172"/>
    </row>
    <row r="301" spans="15:24" x14ac:dyDescent="0.2">
      <c r="O301" s="88"/>
      <c r="P301" s="88"/>
      <c r="S301" s="88"/>
      <c r="T301" s="88"/>
      <c r="W301" s="172"/>
      <c r="X301" s="172"/>
    </row>
    <row r="302" spans="15:24" x14ac:dyDescent="0.2">
      <c r="O302" s="88"/>
      <c r="P302" s="88"/>
      <c r="S302" s="88"/>
      <c r="T302" s="88"/>
      <c r="W302" s="172"/>
      <c r="X302" s="172"/>
    </row>
    <row r="303" spans="15:24" x14ac:dyDescent="0.2">
      <c r="O303" s="88"/>
      <c r="P303" s="88"/>
      <c r="S303" s="88"/>
      <c r="T303" s="88"/>
      <c r="W303" s="172"/>
      <c r="X303" s="172"/>
    </row>
    <row r="304" spans="15:24" x14ac:dyDescent="0.2">
      <c r="O304" s="88"/>
      <c r="P304" s="88"/>
      <c r="S304" s="88"/>
      <c r="T304" s="88"/>
      <c r="W304" s="172"/>
      <c r="X304" s="172"/>
    </row>
    <row r="305" spans="15:24" x14ac:dyDescent="0.2">
      <c r="O305" s="88"/>
      <c r="P305" s="88"/>
      <c r="S305" s="88"/>
      <c r="T305" s="88"/>
      <c r="W305" s="172"/>
      <c r="X305" s="172"/>
    </row>
    <row r="306" spans="15:24" x14ac:dyDescent="0.2">
      <c r="O306" s="88"/>
      <c r="P306" s="88"/>
      <c r="S306" s="88"/>
      <c r="T306" s="88"/>
      <c r="W306" s="172"/>
      <c r="X306" s="172"/>
    </row>
    <row r="307" spans="15:24" x14ac:dyDescent="0.2">
      <c r="O307" s="88"/>
      <c r="P307" s="88"/>
      <c r="S307" s="88"/>
      <c r="T307" s="88"/>
      <c r="W307" s="172"/>
      <c r="X307" s="172"/>
    </row>
    <row r="308" spans="15:24" x14ac:dyDescent="0.2">
      <c r="O308" s="88"/>
      <c r="P308" s="88"/>
      <c r="S308" s="88"/>
      <c r="T308" s="88"/>
      <c r="W308" s="172"/>
      <c r="X308" s="172"/>
    </row>
    <row r="309" spans="15:24" x14ac:dyDescent="0.2">
      <c r="O309" s="88"/>
      <c r="P309" s="88"/>
      <c r="S309" s="88"/>
      <c r="T309" s="88"/>
      <c r="W309" s="172"/>
      <c r="X309" s="172"/>
    </row>
    <row r="310" spans="15:24" x14ac:dyDescent="0.2">
      <c r="O310" s="88"/>
      <c r="P310" s="88"/>
      <c r="S310" s="88"/>
      <c r="T310" s="88"/>
      <c r="W310" s="172"/>
      <c r="X310" s="172"/>
    </row>
    <row r="311" spans="15:24" x14ac:dyDescent="0.2">
      <c r="O311" s="88"/>
      <c r="P311" s="88"/>
      <c r="S311" s="88"/>
      <c r="T311" s="88"/>
      <c r="W311" s="172"/>
      <c r="X311" s="172"/>
    </row>
    <row r="312" spans="15:24" x14ac:dyDescent="0.2">
      <c r="O312" s="88"/>
      <c r="P312" s="88"/>
      <c r="S312" s="88"/>
      <c r="T312" s="88"/>
      <c r="W312" s="172"/>
      <c r="X312" s="172"/>
    </row>
    <row r="313" spans="15:24" x14ac:dyDescent="0.2">
      <c r="O313" s="88"/>
      <c r="P313" s="88"/>
      <c r="S313" s="88"/>
      <c r="T313" s="88"/>
      <c r="W313" s="172"/>
      <c r="X313" s="172"/>
    </row>
    <row r="314" spans="15:24" x14ac:dyDescent="0.2">
      <c r="O314" s="88"/>
      <c r="P314" s="88"/>
      <c r="S314" s="88"/>
      <c r="T314" s="88"/>
      <c r="W314" s="172"/>
      <c r="X314" s="172"/>
    </row>
    <row r="315" spans="15:24" x14ac:dyDescent="0.2">
      <c r="O315" s="88"/>
      <c r="P315" s="88"/>
      <c r="S315" s="88"/>
      <c r="T315" s="88"/>
      <c r="W315" s="172"/>
      <c r="X315" s="172"/>
    </row>
    <row r="316" spans="15:24" x14ac:dyDescent="0.2">
      <c r="O316" s="88"/>
      <c r="P316" s="88"/>
      <c r="S316" s="88"/>
      <c r="T316" s="88"/>
      <c r="W316" s="172"/>
      <c r="X316" s="172"/>
    </row>
    <row r="317" spans="15:24" x14ac:dyDescent="0.2">
      <c r="O317" s="88"/>
      <c r="P317" s="88"/>
      <c r="S317" s="88"/>
      <c r="T317" s="88"/>
      <c r="W317" s="172"/>
      <c r="X317" s="172"/>
    </row>
    <row r="318" spans="15:24" x14ac:dyDescent="0.2">
      <c r="O318" s="88"/>
      <c r="P318" s="88"/>
      <c r="S318" s="88"/>
      <c r="T318" s="88"/>
      <c r="W318" s="172"/>
      <c r="X318" s="172"/>
    </row>
    <row r="319" spans="15:24" x14ac:dyDescent="0.2">
      <c r="O319" s="88"/>
      <c r="P319" s="88"/>
      <c r="S319" s="88"/>
      <c r="T319" s="88"/>
      <c r="W319" s="172"/>
      <c r="X319" s="172"/>
    </row>
    <row r="320" spans="15:24" x14ac:dyDescent="0.2">
      <c r="O320" s="88"/>
      <c r="P320" s="88"/>
      <c r="S320" s="88"/>
      <c r="T320" s="88"/>
      <c r="W320" s="172"/>
      <c r="X320" s="172"/>
    </row>
    <row r="321" spans="15:24" x14ac:dyDescent="0.2">
      <c r="O321" s="88"/>
      <c r="P321" s="88"/>
      <c r="S321" s="88"/>
      <c r="T321" s="88"/>
      <c r="W321" s="172"/>
      <c r="X321" s="172"/>
    </row>
    <row r="322" spans="15:24" x14ac:dyDescent="0.2">
      <c r="O322" s="88"/>
      <c r="P322" s="88"/>
      <c r="S322" s="88"/>
      <c r="T322" s="88"/>
      <c r="W322" s="172"/>
      <c r="X322" s="172"/>
    </row>
    <row r="323" spans="15:24" x14ac:dyDescent="0.2">
      <c r="O323" s="88"/>
      <c r="P323" s="88"/>
      <c r="S323" s="88"/>
      <c r="T323" s="88"/>
      <c r="W323" s="172"/>
      <c r="X323" s="172"/>
    </row>
    <row r="324" spans="15:24" x14ac:dyDescent="0.2">
      <c r="O324" s="88"/>
      <c r="P324" s="88"/>
      <c r="S324" s="88"/>
      <c r="T324" s="88"/>
      <c r="W324" s="172"/>
      <c r="X324" s="172"/>
    </row>
    <row r="325" spans="15:24" x14ac:dyDescent="0.2">
      <c r="O325" s="88"/>
      <c r="P325" s="88"/>
      <c r="S325" s="88"/>
      <c r="T325" s="88"/>
      <c r="W325" s="172"/>
      <c r="X325" s="172"/>
    </row>
    <row r="326" spans="15:24" x14ac:dyDescent="0.2">
      <c r="O326" s="88"/>
      <c r="P326" s="88"/>
      <c r="S326" s="88"/>
      <c r="T326" s="88"/>
      <c r="W326" s="172"/>
      <c r="X326" s="172"/>
    </row>
    <row r="327" spans="15:24" x14ac:dyDescent="0.2">
      <c r="O327" s="88"/>
      <c r="P327" s="88"/>
      <c r="S327" s="88"/>
      <c r="T327" s="88"/>
      <c r="W327" s="172"/>
      <c r="X327" s="172"/>
    </row>
    <row r="328" spans="15:24" x14ac:dyDescent="0.2">
      <c r="O328" s="88"/>
      <c r="P328" s="88"/>
      <c r="S328" s="88"/>
      <c r="T328" s="88"/>
      <c r="W328" s="172"/>
      <c r="X328" s="172"/>
    </row>
    <row r="329" spans="15:24" x14ac:dyDescent="0.2">
      <c r="O329" s="88"/>
      <c r="P329" s="88"/>
      <c r="S329" s="88"/>
      <c r="T329" s="88"/>
      <c r="W329" s="172"/>
      <c r="X329" s="172"/>
    </row>
    <row r="330" spans="15:24" x14ac:dyDescent="0.2">
      <c r="O330" s="88"/>
      <c r="P330" s="88"/>
      <c r="S330" s="88"/>
      <c r="T330" s="88"/>
      <c r="W330" s="172"/>
      <c r="X330" s="172"/>
    </row>
    <row r="331" spans="15:24" x14ac:dyDescent="0.2">
      <c r="O331" s="88"/>
      <c r="P331" s="88"/>
      <c r="S331" s="88"/>
      <c r="T331" s="88"/>
      <c r="W331" s="172"/>
      <c r="X331" s="172"/>
    </row>
    <row r="332" spans="15:24" x14ac:dyDescent="0.2">
      <c r="O332" s="88"/>
      <c r="P332" s="88"/>
      <c r="S332" s="88"/>
      <c r="T332" s="88"/>
      <c r="W332" s="172"/>
      <c r="X332" s="172"/>
    </row>
    <row r="333" spans="15:24" x14ac:dyDescent="0.2">
      <c r="O333" s="88"/>
      <c r="P333" s="88"/>
      <c r="S333" s="88"/>
      <c r="T333" s="88"/>
      <c r="W333" s="172"/>
      <c r="X333" s="172"/>
    </row>
    <row r="334" spans="15:24" x14ac:dyDescent="0.2">
      <c r="O334" s="88"/>
      <c r="P334" s="88"/>
      <c r="S334" s="88"/>
      <c r="T334" s="88"/>
      <c r="W334" s="172"/>
      <c r="X334" s="172"/>
    </row>
    <row r="335" spans="15:24" x14ac:dyDescent="0.2">
      <c r="O335" s="88"/>
      <c r="P335" s="88"/>
      <c r="S335" s="88"/>
      <c r="T335" s="88"/>
      <c r="W335" s="172"/>
      <c r="X335" s="172"/>
    </row>
    <row r="336" spans="15:24" x14ac:dyDescent="0.2">
      <c r="O336" s="88"/>
      <c r="P336" s="88"/>
      <c r="S336" s="88"/>
      <c r="T336" s="88"/>
      <c r="W336" s="172"/>
      <c r="X336" s="172"/>
    </row>
    <row r="337" spans="15:24" x14ac:dyDescent="0.2">
      <c r="O337" s="88"/>
      <c r="P337" s="88"/>
      <c r="S337" s="88"/>
      <c r="T337" s="88"/>
      <c r="W337" s="172"/>
      <c r="X337" s="172"/>
    </row>
    <row r="338" spans="15:24" x14ac:dyDescent="0.2">
      <c r="O338" s="88"/>
      <c r="P338" s="88"/>
      <c r="S338" s="88"/>
      <c r="T338" s="88"/>
      <c r="W338" s="172"/>
      <c r="X338" s="172"/>
    </row>
    <row r="339" spans="15:24" x14ac:dyDescent="0.2">
      <c r="O339" s="88"/>
      <c r="P339" s="88"/>
      <c r="S339" s="88"/>
      <c r="T339" s="88"/>
      <c r="W339" s="172"/>
      <c r="X339" s="172"/>
    </row>
    <row r="340" spans="15:24" x14ac:dyDescent="0.2">
      <c r="O340" s="88"/>
      <c r="P340" s="88"/>
      <c r="S340" s="88"/>
      <c r="T340" s="88"/>
      <c r="W340" s="172"/>
      <c r="X340" s="172"/>
    </row>
    <row r="341" spans="15:24" x14ac:dyDescent="0.2">
      <c r="O341" s="88"/>
      <c r="P341" s="88"/>
      <c r="S341" s="88"/>
      <c r="T341" s="88"/>
      <c r="W341" s="172"/>
      <c r="X341" s="172"/>
    </row>
    <row r="342" spans="15:24" x14ac:dyDescent="0.2">
      <c r="O342" s="88"/>
      <c r="P342" s="88"/>
      <c r="S342" s="88"/>
      <c r="T342" s="88"/>
      <c r="W342" s="172"/>
      <c r="X342" s="172"/>
    </row>
    <row r="343" spans="15:24" x14ac:dyDescent="0.2">
      <c r="O343" s="88"/>
      <c r="P343" s="88"/>
      <c r="S343" s="88"/>
      <c r="T343" s="88"/>
      <c r="W343" s="172"/>
      <c r="X343" s="172"/>
    </row>
    <row r="344" spans="15:24" x14ac:dyDescent="0.2">
      <c r="W344" s="131"/>
      <c r="X344" s="131"/>
    </row>
    <row r="345" spans="15:24" x14ac:dyDescent="0.2">
      <c r="W345" s="140"/>
      <c r="X345" s="140"/>
    </row>
    <row r="346" spans="15:24" x14ac:dyDescent="0.2">
      <c r="O346" s="240"/>
      <c r="P346" s="240"/>
      <c r="S346" s="240"/>
      <c r="T346" s="240"/>
      <c r="W346" s="234"/>
      <c r="X346" s="234"/>
    </row>
    <row r="347" spans="15:24" x14ac:dyDescent="0.2">
      <c r="O347" s="240"/>
      <c r="P347" s="240"/>
      <c r="S347" s="240"/>
      <c r="T347" s="240"/>
      <c r="W347" s="234"/>
      <c r="X347" s="234"/>
    </row>
    <row r="348" spans="15:24" x14ac:dyDescent="0.2">
      <c r="O348" s="240"/>
      <c r="P348" s="240"/>
      <c r="S348" s="240"/>
      <c r="T348" s="240"/>
      <c r="W348" s="234"/>
      <c r="X348" s="234"/>
    </row>
    <row r="349" spans="15:24" x14ac:dyDescent="0.2">
      <c r="O349" s="240"/>
      <c r="P349" s="240"/>
      <c r="S349" s="240"/>
      <c r="T349" s="240"/>
      <c r="W349" s="234"/>
      <c r="X349" s="234"/>
    </row>
    <row r="350" spans="15:24" x14ac:dyDescent="0.2">
      <c r="O350" s="240"/>
      <c r="P350" s="240"/>
      <c r="S350" s="240"/>
      <c r="T350" s="240"/>
      <c r="W350" s="234"/>
      <c r="X350" s="234"/>
    </row>
    <row r="351" spans="15:24" x14ac:dyDescent="0.2">
      <c r="O351" s="240"/>
      <c r="P351" s="240"/>
      <c r="S351" s="240"/>
      <c r="T351" s="240"/>
      <c r="W351" s="234"/>
      <c r="X351" s="234"/>
    </row>
    <row r="352" spans="15:24" x14ac:dyDescent="0.2">
      <c r="O352" s="240"/>
      <c r="P352" s="240"/>
      <c r="S352" s="240"/>
      <c r="T352" s="240"/>
      <c r="W352" s="234"/>
      <c r="X352" s="234"/>
    </row>
    <row r="353" spans="15:24" x14ac:dyDescent="0.2">
      <c r="O353" s="240"/>
      <c r="P353" s="240"/>
      <c r="S353" s="240"/>
      <c r="T353" s="240"/>
      <c r="W353" s="234"/>
      <c r="X353" s="234"/>
    </row>
    <row r="354" spans="15:24" x14ac:dyDescent="0.2">
      <c r="W354" s="140"/>
      <c r="X354" s="140"/>
    </row>
    <row r="355" spans="15:24" x14ac:dyDescent="0.2">
      <c r="W355" s="140"/>
      <c r="X355" s="140"/>
    </row>
    <row r="356" spans="15:24" x14ac:dyDescent="0.2">
      <c r="W356" s="140"/>
      <c r="X356" s="140"/>
    </row>
    <row r="357" spans="15:24" x14ac:dyDescent="0.2">
      <c r="W357" s="140"/>
      <c r="X357" s="140"/>
    </row>
    <row r="358" spans="15:24" x14ac:dyDescent="0.2">
      <c r="W358" s="140"/>
      <c r="X358" s="140"/>
    </row>
    <row r="359" spans="15:24" x14ac:dyDescent="0.2">
      <c r="W359" s="140"/>
      <c r="X359" s="140"/>
    </row>
    <row r="360" spans="15:24" x14ac:dyDescent="0.2">
      <c r="W360" s="140"/>
      <c r="X360" s="140"/>
    </row>
    <row r="361" spans="15:24" x14ac:dyDescent="0.2">
      <c r="W361" s="140"/>
      <c r="X361" s="140"/>
    </row>
    <row r="362" spans="15:24" x14ac:dyDescent="0.2">
      <c r="W362" s="140"/>
      <c r="X362" s="140"/>
    </row>
    <row r="363" spans="15:24" x14ac:dyDescent="0.2">
      <c r="O363" s="88"/>
      <c r="P363" s="88"/>
      <c r="S363" s="88"/>
      <c r="T363" s="88"/>
      <c r="W363" s="172"/>
      <c r="X363" s="172"/>
    </row>
    <row r="364" spans="15:24" x14ac:dyDescent="0.2">
      <c r="O364" s="88"/>
      <c r="P364" s="88"/>
      <c r="S364" s="88"/>
      <c r="T364" s="88"/>
      <c r="W364" s="172"/>
      <c r="X364" s="172"/>
    </row>
    <row r="370" spans="23:24" x14ac:dyDescent="0.2">
      <c r="W370" s="298"/>
      <c r="X370" s="298"/>
    </row>
    <row r="371" spans="23:24" x14ac:dyDescent="0.2">
      <c r="W371" s="78"/>
      <c r="X371" s="78"/>
    </row>
  </sheetData>
  <autoFilter ref="A10:AQ10" xr:uid="{00000000-0009-0000-0000-000000000000}"/>
  <mergeCells count="7">
    <mergeCell ref="D260:K260"/>
    <mergeCell ref="E9:I9"/>
    <mergeCell ref="F2:G2"/>
    <mergeCell ref="F3:G3"/>
    <mergeCell ref="B6:D6"/>
    <mergeCell ref="E6:I6"/>
    <mergeCell ref="B9:D9"/>
  </mergeCells>
  <phoneticPr fontId="0" type="noConversion"/>
  <pageMargins left="0.65" right="0.31496062992125984" top="0.55000000000000004" bottom="0.52" header="0" footer="0"/>
  <pageSetup paperSize="9" fitToHeight="100" orientation="landscape" horizontalDpi="4294967294" r:id="rId1"/>
  <headerFooter alignWithMargins="0"/>
  <rowBreaks count="1" manualBreakCount="1">
    <brk id="64" min="1" max="9" man="1"/>
  </rowBreaks>
  <cellWatches>
    <cellWatch r="G242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SOUPIS PRACÍ</vt:lpstr>
      <vt:lpstr>'SOUPIS PRACÍ'!Názvy_tisku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Barborka</dc:creator>
  <cp:lastModifiedBy>23A8.Klara.Cechova</cp:lastModifiedBy>
  <cp:lastPrinted>2025-02-13T15:29:40Z</cp:lastPrinted>
  <dcterms:created xsi:type="dcterms:W3CDTF">2008-10-13T14:04:42Z</dcterms:created>
  <dcterms:modified xsi:type="dcterms:W3CDTF">2025-02-18T14:35:38Z</dcterms:modified>
</cp:coreProperties>
</file>